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Y:\ETF\KIS ETF AP_LP_QIII2019\github\etf_report_kis\Daily Update\"/>
    </mc:Choice>
  </mc:AlternateContent>
  <xr:revisionPtr revIDLastSave="0" documentId="13_ncr:1_{8A33A85F-8CDB-4CA3-AB5D-9B17B9DE22D3}" xr6:coauthVersionLast="47" xr6:coauthVersionMax="47" xr10:uidLastSave="{00000000-0000-0000-0000-000000000000}"/>
  <bookViews>
    <workbookView showSheetTabs="0" xWindow="-12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2" i="1" l="1"/>
  <c r="AL1272" i="1"/>
  <c r="AP1272" i="1"/>
  <c r="K1270" i="1"/>
  <c r="AL1270" i="1"/>
  <c r="AP1270" i="1"/>
  <c r="K1267" i="1"/>
  <c r="AL1267" i="1"/>
  <c r="AP1267" i="1"/>
  <c r="AP1262" i="1"/>
  <c r="AL1262" i="1"/>
  <c r="K1262" i="1"/>
  <c r="AU1258" i="1"/>
  <c r="AU1259" i="1"/>
  <c r="AU1260" i="1"/>
  <c r="AU1261" i="1"/>
  <c r="K1257" i="1" l="1"/>
  <c r="AL1257" i="1"/>
  <c r="AP1257" i="1"/>
  <c r="AU1252" i="1"/>
  <c r="AU1253" i="1"/>
  <c r="AU1254" i="1"/>
  <c r="AU1255" i="1"/>
  <c r="AU1256" i="1"/>
  <c r="AU1233" i="1"/>
  <c r="AU1234" i="1"/>
  <c r="AU1235" i="1"/>
  <c r="AU1236" i="1"/>
  <c r="AU1237" i="1"/>
  <c r="AU1238" i="1"/>
  <c r="AU1239" i="1"/>
  <c r="AU1240" i="1"/>
  <c r="AU1241" i="1"/>
  <c r="AU1242" i="1"/>
  <c r="AU1243" i="1"/>
  <c r="AU1244" i="1"/>
  <c r="AU1245" i="1"/>
  <c r="AU1246" i="1"/>
  <c r="AU1247" i="1"/>
  <c r="AU1248" i="1"/>
  <c r="AU1249" i="1"/>
  <c r="AU1250" i="1"/>
  <c r="AU1251" i="1"/>
  <c r="AU1232" i="1"/>
  <c r="AP1227" i="1" l="1"/>
  <c r="AP1207" i="1" l="1"/>
  <c r="AP1185" i="1"/>
  <c r="AP1165" i="1"/>
  <c r="AP1145" i="1"/>
  <c r="AP1129" i="1"/>
  <c r="AU1228" i="1" l="1"/>
  <c r="AU1229" i="1"/>
  <c r="AU1230" i="1"/>
  <c r="AU1231" i="1"/>
  <c r="AU1227" i="1"/>
  <c r="AU1222" i="1"/>
  <c r="AU1223" i="1"/>
  <c r="AU1224" i="1"/>
  <c r="AU1225" i="1"/>
  <c r="AU1226" i="1"/>
  <c r="AU1217" i="1" l="1"/>
  <c r="AU1218" i="1"/>
  <c r="AU1219" i="1"/>
  <c r="AU1220" i="1"/>
  <c r="AU1221" i="1"/>
  <c r="AU1212" i="1"/>
  <c r="AU1213" i="1"/>
  <c r="AU1214" i="1"/>
  <c r="AU1215" i="1"/>
  <c r="AU1216" i="1"/>
  <c r="AU1208" i="1" l="1"/>
  <c r="AU1207" i="1"/>
  <c r="AU1209" i="1"/>
  <c r="AU1210" i="1"/>
  <c r="AU1211" i="1"/>
  <c r="AU1202" i="1" l="1"/>
  <c r="AU1203" i="1"/>
  <c r="AU1204" i="1"/>
  <c r="AU1205" i="1"/>
  <c r="AU1206" i="1"/>
  <c r="AU1197" i="1"/>
  <c r="AU1198" i="1"/>
  <c r="AU1199" i="1"/>
  <c r="AU1200" i="1"/>
  <c r="AU1201" i="1"/>
  <c r="AU1192" i="1"/>
  <c r="AU1193" i="1"/>
  <c r="AU1194" i="1"/>
  <c r="AU1195" i="1"/>
  <c r="AU1196" i="1"/>
  <c r="AU1187" i="1"/>
  <c r="AU1188" i="1"/>
  <c r="AU1189" i="1"/>
  <c r="AU1190" i="1"/>
  <c r="AU1191" i="1"/>
  <c r="AU1186" i="1"/>
  <c r="AU1185" i="1" l="1"/>
  <c r="AU1180" i="1"/>
  <c r="AU1181" i="1"/>
  <c r="AU1182" i="1"/>
  <c r="AU1183" i="1"/>
  <c r="AU1184" i="1"/>
  <c r="AU1176" i="1"/>
  <c r="AU1177" i="1"/>
  <c r="AU1178" i="1"/>
  <c r="AU1179" i="1"/>
  <c r="AU1171" i="1"/>
  <c r="AU1172" i="1"/>
  <c r="AU1173" i="1"/>
  <c r="AU1174" i="1"/>
  <c r="AU1175" i="1"/>
  <c r="AU1166" i="1" l="1"/>
  <c r="AU1167" i="1"/>
  <c r="AU1168" i="1"/>
  <c r="AU1169" i="1"/>
  <c r="AU1170" i="1"/>
  <c r="AU1161" i="1"/>
  <c r="AU1162" i="1"/>
  <c r="AU1163" i="1"/>
  <c r="AU1164" i="1"/>
  <c r="AU1165" i="1"/>
  <c r="AU1156" i="1"/>
  <c r="AU1157" i="1"/>
  <c r="AU1158" i="1"/>
  <c r="AU1159" i="1"/>
  <c r="AU1160" i="1"/>
  <c r="AU1151" i="1"/>
  <c r="AU1152" i="1"/>
  <c r="AU1153" i="1"/>
  <c r="AU1154" i="1"/>
  <c r="AU1155" i="1"/>
  <c r="AU1150" i="1"/>
  <c r="AU1149" i="1"/>
  <c r="AU1148" i="1"/>
  <c r="AU1147" i="1"/>
  <c r="AU1146" i="1"/>
  <c r="AU1130" i="1"/>
  <c r="AU1131" i="1"/>
  <c r="AU1132" i="1"/>
  <c r="AU1133" i="1"/>
  <c r="AU1134" i="1"/>
  <c r="AU1135" i="1"/>
  <c r="AU1136" i="1"/>
  <c r="AU1137" i="1"/>
  <c r="AU1138" i="1"/>
  <c r="AU1139" i="1"/>
  <c r="AU1140" i="1"/>
  <c r="AU1141" i="1"/>
  <c r="AU1142" i="1"/>
  <c r="AU1143" i="1"/>
  <c r="AU1144" i="1"/>
  <c r="AU1145" i="1"/>
  <c r="AU1128" i="1" l="1"/>
  <c r="AU1116" i="1"/>
  <c r="AU1117" i="1"/>
  <c r="AU1118" i="1"/>
  <c r="AU1119" i="1"/>
  <c r="AU1120" i="1"/>
  <c r="AU1121" i="1"/>
  <c r="AU1122" i="1"/>
  <c r="AU1123" i="1"/>
  <c r="AU1124" i="1"/>
  <c r="AU1125" i="1"/>
  <c r="AU1126" i="1"/>
  <c r="AU1127" i="1"/>
  <c r="AU1129" i="1"/>
  <c r="AU1115" i="1" l="1"/>
  <c r="AU1114" i="1"/>
  <c r="AU1113" i="1"/>
  <c r="AU1112" i="1"/>
  <c r="AU1111" i="1"/>
  <c r="AU1108" i="1" l="1"/>
  <c r="AU1109" i="1"/>
  <c r="AU1110" i="1"/>
  <c r="AT501" i="1" l="1"/>
  <c r="AS501" i="1"/>
  <c r="AR501" i="1"/>
  <c r="AQ501" i="1"/>
  <c r="AU1107" i="1"/>
  <c r="AU1106" i="1"/>
  <c r="AU1105" i="1"/>
  <c r="AU1104" i="1"/>
  <c r="AU1103" i="1"/>
  <c r="AU1102" i="1"/>
  <c r="AU1101" i="1"/>
  <c r="AU1100" i="1"/>
  <c r="AU1099" i="1"/>
  <c r="AU1098" i="1"/>
  <c r="AU1097" i="1"/>
  <c r="AU1096" i="1"/>
  <c r="AU1095" i="1"/>
  <c r="AU1094" i="1"/>
  <c r="AU1093" i="1"/>
  <c r="AU1092" i="1"/>
  <c r="AU1091" i="1"/>
  <c r="AU1090" i="1"/>
  <c r="AU1089" i="1"/>
  <c r="AU1088" i="1"/>
  <c r="AU1087" i="1"/>
  <c r="AU1067" i="1" l="1"/>
  <c r="AU1068" i="1"/>
  <c r="AU1069" i="1"/>
  <c r="AU1070" i="1"/>
  <c r="AU1071" i="1"/>
  <c r="AU1072" i="1"/>
  <c r="AU1073" i="1"/>
  <c r="AU1074" i="1"/>
  <c r="AU1075" i="1"/>
  <c r="AU1076" i="1"/>
  <c r="AU1077" i="1"/>
  <c r="AU1078" i="1"/>
  <c r="AU1079" i="1"/>
  <c r="AU1080" i="1"/>
  <c r="AU1081" i="1"/>
  <c r="AU1082" i="1"/>
  <c r="AU1083" i="1"/>
  <c r="AU1084" i="1"/>
  <c r="AU1085" i="1"/>
  <c r="AU1086" i="1"/>
  <c r="AU1066" i="1" l="1"/>
  <c r="AU1065" i="1"/>
  <c r="AU1064" i="1"/>
  <c r="AU1063" i="1"/>
  <c r="AU1062" i="1"/>
  <c r="AU1061" i="1"/>
  <c r="AU1060" i="1"/>
  <c r="AU1059" i="1"/>
  <c r="AU1058" i="1"/>
  <c r="AU1057" i="1"/>
  <c r="AU1056" i="1"/>
  <c r="AU1055" i="1"/>
  <c r="AU1054" i="1"/>
  <c r="AU1053" i="1"/>
  <c r="AU1052" i="1"/>
  <c r="AU1051" i="1"/>
  <c r="AU1050" i="1"/>
  <c r="AU1049" i="1"/>
  <c r="AU1048" i="1"/>
  <c r="AU1047" i="1"/>
  <c r="AU1046" i="1"/>
  <c r="AU1045" i="1"/>
  <c r="AU1044" i="1"/>
  <c r="AU1043" i="1"/>
  <c r="AU1024" i="1" l="1"/>
  <c r="AU1025" i="1"/>
  <c r="AU1026" i="1"/>
  <c r="AU1027" i="1"/>
  <c r="AU1028" i="1"/>
  <c r="AU1029" i="1"/>
  <c r="AU1030" i="1"/>
  <c r="AU1031" i="1"/>
  <c r="AU1032" i="1"/>
  <c r="AU1033" i="1"/>
  <c r="AU1034" i="1"/>
  <c r="AU1035" i="1"/>
  <c r="AU1036" i="1"/>
  <c r="AU1037" i="1"/>
  <c r="AU1038" i="1"/>
  <c r="AU1039" i="1"/>
  <c r="AU1040" i="1"/>
  <c r="AU1041" i="1"/>
  <c r="AU1042" i="1"/>
  <c r="AU1023" i="1" l="1"/>
  <c r="AU1022" i="1"/>
  <c r="AU1021" i="1"/>
  <c r="AU1020" i="1"/>
  <c r="AU1019" i="1"/>
  <c r="AU1018" i="1"/>
  <c r="AU1017" i="1"/>
  <c r="AU1016" i="1"/>
  <c r="AU1015" i="1"/>
  <c r="AU1014" i="1"/>
  <c r="AU1013" i="1"/>
  <c r="AU1012" i="1"/>
  <c r="AU1011" i="1"/>
  <c r="AU1010" i="1"/>
  <c r="AU1009" i="1"/>
  <c r="AU1008" i="1"/>
  <c r="AU1007" i="1"/>
  <c r="AU1006" i="1"/>
  <c r="AU1005" i="1"/>
  <c r="AU1004" i="1"/>
  <c r="AU1003" i="1" l="1"/>
  <c r="AU1002" i="1"/>
  <c r="AU1001" i="1"/>
  <c r="AU1000" i="1"/>
  <c r="AU989" i="1" l="1"/>
  <c r="AU990" i="1"/>
  <c r="AU991" i="1"/>
  <c r="AU992" i="1"/>
  <c r="AU993" i="1"/>
  <c r="AU984" i="1" l="1"/>
  <c r="AU985" i="1"/>
  <c r="AU986" i="1"/>
  <c r="AU987" i="1"/>
  <c r="AU988" i="1"/>
  <c r="AU959" i="1" l="1"/>
  <c r="AU960" i="1"/>
  <c r="AU961" i="1"/>
  <c r="AU962" i="1"/>
  <c r="AU963" i="1"/>
  <c r="AU964" i="1"/>
  <c r="AU965" i="1"/>
  <c r="AU966" i="1"/>
  <c r="AU967" i="1"/>
  <c r="AU968" i="1"/>
  <c r="AU974" i="1"/>
  <c r="AU975" i="1"/>
  <c r="AU976" i="1"/>
  <c r="AU977" i="1"/>
  <c r="AU978" i="1"/>
  <c r="AU944" i="1" l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39" i="1"/>
  <c r="AU940" i="1"/>
  <c r="AU941" i="1"/>
  <c r="AU942" i="1"/>
  <c r="AU943" i="1"/>
  <c r="AU918" i="1" l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897" i="1" l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873" i="1" l="1"/>
  <c r="AU872" i="1"/>
  <c r="AU871" i="1"/>
  <c r="AU870" i="1"/>
  <c r="AU869" i="1"/>
  <c r="AU868" i="1"/>
  <c r="AU867" i="1"/>
  <c r="AU866" i="1"/>
  <c r="AU865" i="1"/>
  <c r="AU864" i="1"/>
  <c r="AU863" i="1"/>
  <c r="AU862" i="1"/>
  <c r="AU861" i="1"/>
  <c r="AU860" i="1"/>
  <c r="AU859" i="1"/>
  <c r="AU857" i="1"/>
  <c r="AU856" i="1"/>
  <c r="AU855" i="1"/>
  <c r="AU854" i="1"/>
  <c r="AU853" i="1"/>
  <c r="AU852" i="1"/>
  <c r="AU851" i="1"/>
  <c r="AU850" i="1"/>
  <c r="AU849" i="1"/>
  <c r="AU848" i="1"/>
  <c r="AU847" i="1"/>
  <c r="AU846" i="1"/>
  <c r="AU845" i="1"/>
  <c r="AU844" i="1"/>
  <c r="AU843" i="1"/>
  <c r="G858" i="1"/>
  <c r="AU858" i="1" s="1"/>
  <c r="AO842" i="1" l="1"/>
  <c r="AN842" i="1"/>
  <c r="AD842" i="1"/>
  <c r="AA842" i="1"/>
  <c r="X842" i="1"/>
  <c r="U842" i="1"/>
  <c r="R842" i="1"/>
  <c r="O842" i="1"/>
  <c r="M842" i="1"/>
  <c r="L842" i="1" s="1"/>
  <c r="H842" i="1"/>
  <c r="F842" i="1"/>
  <c r="G842" i="1" s="1"/>
  <c r="AO841" i="1"/>
  <c r="AN841" i="1"/>
  <c r="AD841" i="1"/>
  <c r="AA841" i="1"/>
  <c r="X841" i="1"/>
  <c r="U841" i="1"/>
  <c r="R841" i="1"/>
  <c r="O841" i="1"/>
  <c r="L841" i="1"/>
  <c r="H841" i="1"/>
  <c r="F841" i="1"/>
  <c r="G841" i="1" s="1"/>
  <c r="AO840" i="1"/>
  <c r="AN840" i="1"/>
  <c r="AD840" i="1"/>
  <c r="AA840" i="1"/>
  <c r="X840" i="1"/>
  <c r="U840" i="1"/>
  <c r="R840" i="1"/>
  <c r="O840" i="1"/>
  <c r="L840" i="1"/>
  <c r="H840" i="1"/>
  <c r="F840" i="1"/>
  <c r="G840" i="1" s="1"/>
  <c r="AO839" i="1"/>
  <c r="AN839" i="1"/>
  <c r="AD839" i="1"/>
  <c r="AA839" i="1"/>
  <c r="X839" i="1"/>
  <c r="U839" i="1"/>
  <c r="R839" i="1"/>
  <c r="O839" i="1"/>
  <c r="L839" i="1"/>
  <c r="H839" i="1"/>
  <c r="F839" i="1"/>
  <c r="G839" i="1" s="1"/>
  <c r="AO838" i="1"/>
  <c r="AN838" i="1"/>
  <c r="AD838" i="1"/>
  <c r="AA838" i="1"/>
  <c r="X838" i="1"/>
  <c r="U838" i="1"/>
  <c r="R838" i="1"/>
  <c r="O838" i="1"/>
  <c r="L838" i="1"/>
  <c r="I838" i="1"/>
  <c r="H838" i="1" s="1"/>
  <c r="F838" i="1"/>
  <c r="G838" i="1" s="1"/>
  <c r="AJ838" i="1" l="1"/>
  <c r="AU838" i="1" s="1"/>
  <c r="AJ841" i="1"/>
  <c r="AU841" i="1" s="1"/>
  <c r="AJ840" i="1"/>
  <c r="AU840" i="1" s="1"/>
  <c r="AJ842" i="1"/>
  <c r="AU842" i="1" s="1"/>
  <c r="AJ839" i="1"/>
  <c r="AU839" i="1" s="1"/>
  <c r="AZ836" i="1" l="1"/>
  <c r="BB836" i="1" s="1"/>
  <c r="AO837" i="1" l="1"/>
  <c r="AN837" i="1"/>
  <c r="AD837" i="1"/>
  <c r="AA837" i="1"/>
  <c r="X837" i="1"/>
  <c r="U837" i="1"/>
  <c r="R837" i="1"/>
  <c r="O837" i="1"/>
  <c r="L837" i="1"/>
  <c r="H837" i="1"/>
  <c r="F837" i="1"/>
  <c r="G837" i="1" s="1"/>
  <c r="AO836" i="1"/>
  <c r="AN836" i="1"/>
  <c r="AD836" i="1"/>
  <c r="AA836" i="1"/>
  <c r="X836" i="1"/>
  <c r="U836" i="1"/>
  <c r="R836" i="1"/>
  <c r="O836" i="1"/>
  <c r="L836" i="1"/>
  <c r="H836" i="1"/>
  <c r="F836" i="1"/>
  <c r="G836" i="1" s="1"/>
  <c r="AO835" i="1"/>
  <c r="AN835" i="1"/>
  <c r="AD835" i="1"/>
  <c r="AA835" i="1"/>
  <c r="X835" i="1"/>
  <c r="U835" i="1"/>
  <c r="R835" i="1"/>
  <c r="O835" i="1"/>
  <c r="L835" i="1"/>
  <c r="H835" i="1"/>
  <c r="F835" i="1"/>
  <c r="G835" i="1" s="1"/>
  <c r="AO834" i="1"/>
  <c r="AN834" i="1"/>
  <c r="AD834" i="1"/>
  <c r="AA834" i="1"/>
  <c r="X834" i="1"/>
  <c r="U834" i="1"/>
  <c r="R834" i="1"/>
  <c r="O834" i="1"/>
  <c r="L834" i="1"/>
  <c r="H834" i="1"/>
  <c r="F834" i="1"/>
  <c r="G834" i="1" s="1"/>
  <c r="AO833" i="1"/>
  <c r="AN833" i="1"/>
  <c r="AD833" i="1"/>
  <c r="AA833" i="1"/>
  <c r="X833" i="1"/>
  <c r="U833" i="1"/>
  <c r="R833" i="1"/>
  <c r="O833" i="1"/>
  <c r="L833" i="1"/>
  <c r="H833" i="1"/>
  <c r="F833" i="1"/>
  <c r="G833" i="1" s="1"/>
  <c r="AO832" i="1"/>
  <c r="AN832" i="1"/>
  <c r="AD832" i="1"/>
  <c r="AA832" i="1"/>
  <c r="X832" i="1"/>
  <c r="U832" i="1"/>
  <c r="R832" i="1"/>
  <c r="O832" i="1"/>
  <c r="L832" i="1"/>
  <c r="H832" i="1"/>
  <c r="F832" i="1"/>
  <c r="G832" i="1" s="1"/>
  <c r="AO831" i="1"/>
  <c r="AN831" i="1"/>
  <c r="AD831" i="1"/>
  <c r="AA831" i="1"/>
  <c r="X831" i="1"/>
  <c r="U831" i="1"/>
  <c r="R831" i="1"/>
  <c r="O831" i="1"/>
  <c r="L831" i="1"/>
  <c r="H831" i="1"/>
  <c r="F831" i="1"/>
  <c r="G831" i="1" s="1"/>
  <c r="AO830" i="1"/>
  <c r="AN830" i="1"/>
  <c r="AD830" i="1"/>
  <c r="AA830" i="1"/>
  <c r="X830" i="1"/>
  <c r="U830" i="1"/>
  <c r="R830" i="1"/>
  <c r="O830" i="1"/>
  <c r="L830" i="1"/>
  <c r="H830" i="1"/>
  <c r="F830" i="1"/>
  <c r="G830" i="1" s="1"/>
  <c r="AO829" i="1"/>
  <c r="AN829" i="1"/>
  <c r="AD829" i="1"/>
  <c r="AA829" i="1"/>
  <c r="X829" i="1"/>
  <c r="U829" i="1"/>
  <c r="R829" i="1"/>
  <c r="O829" i="1"/>
  <c r="L829" i="1"/>
  <c r="H829" i="1"/>
  <c r="F829" i="1"/>
  <c r="G829" i="1" s="1"/>
  <c r="AO828" i="1"/>
  <c r="AN828" i="1"/>
  <c r="AD828" i="1"/>
  <c r="AA828" i="1"/>
  <c r="X828" i="1"/>
  <c r="U828" i="1"/>
  <c r="R828" i="1"/>
  <c r="O828" i="1"/>
  <c r="L828" i="1"/>
  <c r="H828" i="1"/>
  <c r="F828" i="1"/>
  <c r="G828" i="1" s="1"/>
  <c r="AO827" i="1"/>
  <c r="AN827" i="1"/>
  <c r="AD827" i="1"/>
  <c r="AA827" i="1"/>
  <c r="X827" i="1"/>
  <c r="U827" i="1"/>
  <c r="R827" i="1"/>
  <c r="O827" i="1"/>
  <c r="L827" i="1"/>
  <c r="H827" i="1"/>
  <c r="F827" i="1"/>
  <c r="G827" i="1" s="1"/>
  <c r="AO826" i="1"/>
  <c r="AN826" i="1"/>
  <c r="AD826" i="1"/>
  <c r="AA826" i="1"/>
  <c r="X826" i="1"/>
  <c r="U826" i="1"/>
  <c r="R826" i="1"/>
  <c r="O826" i="1"/>
  <c r="L826" i="1"/>
  <c r="H826" i="1"/>
  <c r="F826" i="1"/>
  <c r="G826" i="1" s="1"/>
  <c r="AO825" i="1"/>
  <c r="AN825" i="1"/>
  <c r="AD825" i="1"/>
  <c r="AA825" i="1"/>
  <c r="X825" i="1"/>
  <c r="U825" i="1"/>
  <c r="R825" i="1"/>
  <c r="O825" i="1"/>
  <c r="L825" i="1"/>
  <c r="H825" i="1"/>
  <c r="F825" i="1"/>
  <c r="G825" i="1" s="1"/>
  <c r="AO824" i="1"/>
  <c r="AN824" i="1"/>
  <c r="AD824" i="1"/>
  <c r="AA824" i="1"/>
  <c r="X824" i="1"/>
  <c r="U824" i="1"/>
  <c r="R824" i="1"/>
  <c r="O824" i="1"/>
  <c r="L824" i="1"/>
  <c r="H824" i="1"/>
  <c r="F824" i="1"/>
  <c r="G824" i="1" s="1"/>
  <c r="AO823" i="1"/>
  <c r="AN823" i="1"/>
  <c r="AD823" i="1"/>
  <c r="AA823" i="1"/>
  <c r="X823" i="1"/>
  <c r="U823" i="1"/>
  <c r="R823" i="1"/>
  <c r="O823" i="1"/>
  <c r="L823" i="1"/>
  <c r="H823" i="1"/>
  <c r="F823" i="1"/>
  <c r="G823" i="1" s="1"/>
  <c r="AO822" i="1"/>
  <c r="AN822" i="1"/>
  <c r="AA822" i="1"/>
  <c r="X822" i="1"/>
  <c r="U822" i="1"/>
  <c r="R822" i="1"/>
  <c r="O822" i="1"/>
  <c r="L822" i="1"/>
  <c r="H822" i="1"/>
  <c r="F822" i="1"/>
  <c r="G822" i="1" s="1"/>
  <c r="AO821" i="1"/>
  <c r="AN821" i="1"/>
  <c r="AA821" i="1"/>
  <c r="X821" i="1"/>
  <c r="U821" i="1"/>
  <c r="R821" i="1"/>
  <c r="O821" i="1"/>
  <c r="L821" i="1"/>
  <c r="H821" i="1"/>
  <c r="F821" i="1"/>
  <c r="G821" i="1" s="1"/>
  <c r="AO820" i="1"/>
  <c r="AN820" i="1"/>
  <c r="AA820" i="1"/>
  <c r="X820" i="1"/>
  <c r="U820" i="1"/>
  <c r="R820" i="1"/>
  <c r="O820" i="1"/>
  <c r="L820" i="1"/>
  <c r="H820" i="1"/>
  <c r="F820" i="1"/>
  <c r="G820" i="1" s="1"/>
  <c r="AO819" i="1"/>
  <c r="AN819" i="1"/>
  <c r="AA819" i="1"/>
  <c r="X819" i="1"/>
  <c r="U819" i="1"/>
  <c r="R819" i="1"/>
  <c r="O819" i="1"/>
  <c r="L819" i="1"/>
  <c r="H819" i="1"/>
  <c r="F819" i="1"/>
  <c r="G819" i="1" s="1"/>
  <c r="AO818" i="1"/>
  <c r="AN818" i="1"/>
  <c r="AA818" i="1"/>
  <c r="X818" i="1"/>
  <c r="U818" i="1"/>
  <c r="R818" i="1"/>
  <c r="O818" i="1"/>
  <c r="L818" i="1"/>
  <c r="H818" i="1"/>
  <c r="F818" i="1"/>
  <c r="AU820" i="1" l="1"/>
  <c r="AJ822" i="1"/>
  <c r="AU822" i="1" s="1"/>
  <c r="AJ818" i="1"/>
  <c r="AJ819" i="1"/>
  <c r="AU819" i="1" s="1"/>
  <c r="AJ821" i="1"/>
  <c r="AU821" i="1" s="1"/>
  <c r="AJ833" i="1"/>
  <c r="AU833" i="1" s="1"/>
  <c r="AJ827" i="1"/>
  <c r="AU827" i="1" s="1"/>
  <c r="AJ834" i="1"/>
  <c r="AU834" i="1" s="1"/>
  <c r="AJ835" i="1"/>
  <c r="AU835" i="1" s="1"/>
  <c r="AJ836" i="1"/>
  <c r="AU836" i="1" s="1"/>
  <c r="AJ837" i="1"/>
  <c r="AU837" i="1" s="1"/>
  <c r="AJ824" i="1"/>
  <c r="AU824" i="1" s="1"/>
  <c r="AJ825" i="1"/>
  <c r="AU825" i="1" s="1"/>
  <c r="AJ826" i="1"/>
  <c r="AU826" i="1" s="1"/>
  <c r="AJ829" i="1"/>
  <c r="AU829" i="1" s="1"/>
  <c r="AJ830" i="1"/>
  <c r="AU830" i="1" s="1"/>
  <c r="AJ831" i="1"/>
  <c r="AU831" i="1" s="1"/>
  <c r="AJ832" i="1"/>
  <c r="AU832" i="1" s="1"/>
  <c r="G818" i="1"/>
  <c r="AJ828" i="1"/>
  <c r="AU828" i="1" s="1"/>
  <c r="AJ823" i="1"/>
  <c r="AU823" i="1" s="1"/>
  <c r="AU818" i="1" l="1"/>
  <c r="AO817" i="1"/>
  <c r="AA817" i="1"/>
  <c r="X817" i="1"/>
  <c r="U817" i="1"/>
  <c r="R817" i="1"/>
  <c r="O817" i="1"/>
  <c r="L817" i="1"/>
  <c r="H817" i="1"/>
  <c r="F817" i="1"/>
  <c r="G817" i="1" s="1"/>
  <c r="AO816" i="1"/>
  <c r="AN816" i="1"/>
  <c r="AA816" i="1"/>
  <c r="X816" i="1"/>
  <c r="U816" i="1"/>
  <c r="R816" i="1"/>
  <c r="O816" i="1"/>
  <c r="L816" i="1"/>
  <c r="H816" i="1"/>
  <c r="F816" i="1"/>
  <c r="G816" i="1" s="1"/>
  <c r="AO815" i="1"/>
  <c r="AN815" i="1"/>
  <c r="AA815" i="1"/>
  <c r="X815" i="1"/>
  <c r="U815" i="1"/>
  <c r="R815" i="1"/>
  <c r="O815" i="1"/>
  <c r="L815" i="1"/>
  <c r="H815" i="1"/>
  <c r="F815" i="1"/>
  <c r="G815" i="1" s="1"/>
  <c r="AO814" i="1"/>
  <c r="AN814" i="1"/>
  <c r="AC814" i="1"/>
  <c r="AA814" i="1" s="1"/>
  <c r="Z814" i="1"/>
  <c r="X814" i="1" s="1"/>
  <c r="W814" i="1"/>
  <c r="U814" i="1" s="1"/>
  <c r="T814" i="1"/>
  <c r="R814" i="1" s="1"/>
  <c r="Q814" i="1"/>
  <c r="O814" i="1" s="1"/>
  <c r="N814" i="1"/>
  <c r="L814" i="1" s="1"/>
  <c r="J814" i="1"/>
  <c r="H814" i="1" s="1"/>
  <c r="I814" i="1"/>
  <c r="F814" i="1"/>
  <c r="G814" i="1" s="1"/>
  <c r="AO813" i="1"/>
  <c r="AN813" i="1"/>
  <c r="AC813" i="1"/>
  <c r="AA813" i="1" s="1"/>
  <c r="Z813" i="1"/>
  <c r="X813" i="1" s="1"/>
  <c r="W813" i="1"/>
  <c r="U813" i="1" s="1"/>
  <c r="T813" i="1"/>
  <c r="R813" i="1" s="1"/>
  <c r="Q813" i="1"/>
  <c r="O813" i="1" s="1"/>
  <c r="N813" i="1"/>
  <c r="L813" i="1" s="1"/>
  <c r="J813" i="1"/>
  <c r="I813" i="1"/>
  <c r="F813" i="1"/>
  <c r="G813" i="1" s="1"/>
  <c r="AU814" i="1" l="1"/>
  <c r="AJ817" i="1"/>
  <c r="AU817" i="1" s="1"/>
  <c r="AJ816" i="1"/>
  <c r="AU816" i="1" s="1"/>
  <c r="H813" i="1"/>
  <c r="AJ813" i="1" s="1"/>
  <c r="AU813" i="1" s="1"/>
  <c r="AJ815" i="1"/>
  <c r="AU815" i="1" s="1"/>
  <c r="AO812" i="1" l="1"/>
  <c r="AN812" i="1"/>
  <c r="AA812" i="1"/>
  <c r="X812" i="1"/>
  <c r="U812" i="1"/>
  <c r="R812" i="1"/>
  <c r="O812" i="1"/>
  <c r="L812" i="1"/>
  <c r="H812" i="1"/>
  <c r="F812" i="1"/>
  <c r="G812" i="1" s="1"/>
  <c r="AO811" i="1"/>
  <c r="AN811" i="1"/>
  <c r="AA811" i="1"/>
  <c r="X811" i="1"/>
  <c r="U811" i="1"/>
  <c r="R811" i="1"/>
  <c r="O811" i="1"/>
  <c r="L811" i="1"/>
  <c r="H811" i="1"/>
  <c r="F811" i="1"/>
  <c r="G811" i="1" s="1"/>
  <c r="AO810" i="1"/>
  <c r="AN810" i="1"/>
  <c r="AA810" i="1"/>
  <c r="X810" i="1"/>
  <c r="U810" i="1"/>
  <c r="R810" i="1"/>
  <c r="O810" i="1"/>
  <c r="L810" i="1"/>
  <c r="H810" i="1"/>
  <c r="F810" i="1"/>
  <c r="G810" i="1" s="1"/>
  <c r="AO809" i="1"/>
  <c r="AN809" i="1"/>
  <c r="AA809" i="1"/>
  <c r="X809" i="1"/>
  <c r="U809" i="1"/>
  <c r="R809" i="1"/>
  <c r="O809" i="1"/>
  <c r="L809" i="1"/>
  <c r="H809" i="1"/>
  <c r="F809" i="1"/>
  <c r="G809" i="1" s="1"/>
  <c r="AO808" i="1"/>
  <c r="AN808" i="1"/>
  <c r="AA808" i="1"/>
  <c r="X808" i="1"/>
  <c r="U808" i="1"/>
  <c r="R808" i="1"/>
  <c r="O808" i="1"/>
  <c r="L808" i="1"/>
  <c r="H808" i="1"/>
  <c r="F808" i="1"/>
  <c r="G808" i="1" s="1"/>
  <c r="AO807" i="1"/>
  <c r="AA807" i="1"/>
  <c r="X807" i="1"/>
  <c r="U807" i="1"/>
  <c r="R807" i="1"/>
  <c r="O807" i="1"/>
  <c r="L807" i="1"/>
  <c r="H807" i="1"/>
  <c r="F807" i="1"/>
  <c r="G807" i="1" s="1"/>
  <c r="AO806" i="1"/>
  <c r="AA806" i="1"/>
  <c r="X806" i="1"/>
  <c r="U806" i="1"/>
  <c r="R806" i="1"/>
  <c r="O806" i="1"/>
  <c r="L806" i="1"/>
  <c r="H806" i="1"/>
  <c r="F806" i="1"/>
  <c r="G806" i="1" s="1"/>
  <c r="AO805" i="1"/>
  <c r="AA805" i="1"/>
  <c r="X805" i="1"/>
  <c r="U805" i="1"/>
  <c r="R805" i="1"/>
  <c r="O805" i="1"/>
  <c r="L805" i="1"/>
  <c r="H805" i="1"/>
  <c r="F805" i="1"/>
  <c r="G805" i="1" s="1"/>
  <c r="AO804" i="1"/>
  <c r="AA804" i="1"/>
  <c r="X804" i="1"/>
  <c r="U804" i="1"/>
  <c r="R804" i="1"/>
  <c r="O804" i="1"/>
  <c r="L804" i="1"/>
  <c r="H804" i="1"/>
  <c r="F804" i="1"/>
  <c r="G804" i="1" s="1"/>
  <c r="AO803" i="1"/>
  <c r="AA803" i="1"/>
  <c r="X803" i="1"/>
  <c r="U803" i="1"/>
  <c r="R803" i="1"/>
  <c r="O803" i="1"/>
  <c r="L803" i="1"/>
  <c r="H803" i="1"/>
  <c r="F803" i="1"/>
  <c r="G803" i="1" s="1"/>
  <c r="AO802" i="1"/>
  <c r="AN802" i="1"/>
  <c r="AA802" i="1"/>
  <c r="X802" i="1"/>
  <c r="U802" i="1"/>
  <c r="R802" i="1"/>
  <c r="O802" i="1"/>
  <c r="L802" i="1"/>
  <c r="H802" i="1"/>
  <c r="F802" i="1"/>
  <c r="G802" i="1" s="1"/>
  <c r="AO801" i="1"/>
  <c r="AN801" i="1"/>
  <c r="AA801" i="1"/>
  <c r="X801" i="1"/>
  <c r="U801" i="1"/>
  <c r="R801" i="1"/>
  <c r="O801" i="1"/>
  <c r="L801" i="1"/>
  <c r="H801" i="1"/>
  <c r="F801" i="1"/>
  <c r="G801" i="1" s="1"/>
  <c r="AO800" i="1"/>
  <c r="AN800" i="1"/>
  <c r="AK800" i="1"/>
  <c r="AA800" i="1"/>
  <c r="X800" i="1"/>
  <c r="U800" i="1"/>
  <c r="R800" i="1"/>
  <c r="O800" i="1"/>
  <c r="L800" i="1"/>
  <c r="H800" i="1"/>
  <c r="F800" i="1"/>
  <c r="G800" i="1" s="1"/>
  <c r="AO799" i="1"/>
  <c r="AN799" i="1"/>
  <c r="AA799" i="1"/>
  <c r="X799" i="1"/>
  <c r="U799" i="1"/>
  <c r="R799" i="1"/>
  <c r="O799" i="1"/>
  <c r="L799" i="1"/>
  <c r="H799" i="1"/>
  <c r="F799" i="1"/>
  <c r="G799" i="1" s="1"/>
  <c r="AO798" i="1"/>
  <c r="AN798" i="1"/>
  <c r="AA798" i="1"/>
  <c r="X798" i="1"/>
  <c r="U798" i="1"/>
  <c r="R798" i="1"/>
  <c r="O798" i="1"/>
  <c r="L798" i="1"/>
  <c r="H798" i="1"/>
  <c r="F798" i="1"/>
  <c r="G798" i="1" s="1"/>
  <c r="AO797" i="1"/>
  <c r="AN797" i="1"/>
  <c r="AA797" i="1"/>
  <c r="X797" i="1"/>
  <c r="U797" i="1"/>
  <c r="R797" i="1"/>
  <c r="O797" i="1"/>
  <c r="L797" i="1"/>
  <c r="H797" i="1"/>
  <c r="F797" i="1"/>
  <c r="G797" i="1" s="1"/>
  <c r="AO796" i="1"/>
  <c r="AN796" i="1"/>
  <c r="AA796" i="1"/>
  <c r="X796" i="1"/>
  <c r="U796" i="1"/>
  <c r="R796" i="1"/>
  <c r="O796" i="1"/>
  <c r="L796" i="1"/>
  <c r="H796" i="1"/>
  <c r="F796" i="1"/>
  <c r="G796" i="1" s="1"/>
  <c r="AO795" i="1"/>
  <c r="AN795" i="1"/>
  <c r="AA795" i="1"/>
  <c r="X795" i="1"/>
  <c r="U795" i="1"/>
  <c r="R795" i="1"/>
  <c r="O795" i="1"/>
  <c r="L795" i="1"/>
  <c r="H795" i="1"/>
  <c r="F795" i="1"/>
  <c r="G795" i="1" s="1"/>
  <c r="AO794" i="1"/>
  <c r="AN794" i="1"/>
  <c r="AA794" i="1"/>
  <c r="X794" i="1"/>
  <c r="U794" i="1"/>
  <c r="R794" i="1"/>
  <c r="O794" i="1"/>
  <c r="L794" i="1"/>
  <c r="H794" i="1"/>
  <c r="F794" i="1"/>
  <c r="G794" i="1" s="1"/>
  <c r="AJ795" i="1" l="1"/>
  <c r="AU795" i="1" s="1"/>
  <c r="AJ796" i="1"/>
  <c r="AU796" i="1" s="1"/>
  <c r="AJ808" i="1"/>
  <c r="AU808" i="1" s="1"/>
  <c r="AJ799" i="1"/>
  <c r="AU799" i="1" s="1"/>
  <c r="AJ798" i="1"/>
  <c r="AU798" i="1" s="1"/>
  <c r="AJ809" i="1"/>
  <c r="AU809" i="1" s="1"/>
  <c r="AJ794" i="1"/>
  <c r="AU794" i="1" s="1"/>
  <c r="AJ803" i="1"/>
  <c r="AU803" i="1" s="1"/>
  <c r="AJ802" i="1"/>
  <c r="AU802" i="1" s="1"/>
  <c r="AJ806" i="1"/>
  <c r="AU806" i="1" s="1"/>
  <c r="AJ801" i="1"/>
  <c r="AU801" i="1" s="1"/>
  <c r="AJ807" i="1"/>
  <c r="AU807" i="1" s="1"/>
  <c r="AJ812" i="1"/>
  <c r="AU812" i="1" s="1"/>
  <c r="AJ800" i="1"/>
  <c r="AU800" i="1" s="1"/>
  <c r="AJ797" i="1"/>
  <c r="AU797" i="1" s="1"/>
  <c r="AJ811" i="1"/>
  <c r="AU811" i="1" s="1"/>
  <c r="AJ805" i="1"/>
  <c r="AU805" i="1" s="1"/>
  <c r="AJ810" i="1"/>
  <c r="AU810" i="1" s="1"/>
  <c r="AJ804" i="1"/>
  <c r="AU804" i="1" s="1"/>
  <c r="AO793" i="1"/>
  <c r="AN793" i="1"/>
  <c r="AA793" i="1"/>
  <c r="X793" i="1"/>
  <c r="U793" i="1"/>
  <c r="R793" i="1"/>
  <c r="O793" i="1"/>
  <c r="L793" i="1"/>
  <c r="H793" i="1"/>
  <c r="F793" i="1"/>
  <c r="G793" i="1" s="1"/>
  <c r="AO792" i="1"/>
  <c r="AN792" i="1"/>
  <c r="AA792" i="1"/>
  <c r="X792" i="1"/>
  <c r="U792" i="1"/>
  <c r="R792" i="1"/>
  <c r="O792" i="1"/>
  <c r="L792" i="1"/>
  <c r="H792" i="1"/>
  <c r="F792" i="1"/>
  <c r="G792" i="1" s="1"/>
  <c r="AO791" i="1"/>
  <c r="AN791" i="1"/>
  <c r="AA791" i="1"/>
  <c r="X791" i="1"/>
  <c r="U791" i="1"/>
  <c r="R791" i="1"/>
  <c r="O791" i="1"/>
  <c r="L791" i="1"/>
  <c r="H791" i="1"/>
  <c r="F791" i="1"/>
  <c r="G791" i="1" s="1"/>
  <c r="AP790" i="1"/>
  <c r="AO790" i="1"/>
  <c r="AN790" i="1"/>
  <c r="AA790" i="1"/>
  <c r="X790" i="1"/>
  <c r="U790" i="1"/>
  <c r="R790" i="1"/>
  <c r="O790" i="1"/>
  <c r="M790" i="1"/>
  <c r="L790" i="1" s="1"/>
  <c r="H790" i="1"/>
  <c r="F790" i="1"/>
  <c r="G790" i="1" s="1"/>
  <c r="AO789" i="1"/>
  <c r="AN789" i="1"/>
  <c r="AK789" i="1"/>
  <c r="AA789" i="1"/>
  <c r="X789" i="1"/>
  <c r="U789" i="1"/>
  <c r="R789" i="1"/>
  <c r="O789" i="1"/>
  <c r="L789" i="1"/>
  <c r="H789" i="1"/>
  <c r="F789" i="1"/>
  <c r="G789" i="1" s="1"/>
  <c r="AO788" i="1"/>
  <c r="AN788" i="1"/>
  <c r="AA788" i="1"/>
  <c r="X788" i="1"/>
  <c r="U788" i="1"/>
  <c r="R788" i="1"/>
  <c r="O788" i="1"/>
  <c r="L788" i="1"/>
  <c r="H788" i="1"/>
  <c r="F788" i="1"/>
  <c r="G788" i="1" s="1"/>
  <c r="AO787" i="1"/>
  <c r="AN787" i="1"/>
  <c r="X787" i="1"/>
  <c r="U787" i="1"/>
  <c r="R787" i="1"/>
  <c r="O787" i="1"/>
  <c r="L787" i="1"/>
  <c r="H787" i="1"/>
  <c r="F787" i="1"/>
  <c r="G787" i="1" s="1"/>
  <c r="AO786" i="1"/>
  <c r="AN786" i="1"/>
  <c r="X786" i="1"/>
  <c r="U786" i="1"/>
  <c r="R786" i="1"/>
  <c r="O786" i="1"/>
  <c r="L786" i="1"/>
  <c r="H786" i="1"/>
  <c r="F786" i="1"/>
  <c r="G786" i="1" s="1"/>
  <c r="AO785" i="1"/>
  <c r="AN785" i="1"/>
  <c r="X785" i="1"/>
  <c r="U785" i="1"/>
  <c r="R785" i="1"/>
  <c r="O785" i="1"/>
  <c r="L785" i="1"/>
  <c r="H785" i="1"/>
  <c r="F785" i="1"/>
  <c r="G785" i="1" s="1"/>
  <c r="AO784" i="1"/>
  <c r="AN784" i="1"/>
  <c r="X784" i="1"/>
  <c r="U784" i="1"/>
  <c r="R784" i="1"/>
  <c r="O784" i="1"/>
  <c r="L784" i="1"/>
  <c r="H784" i="1"/>
  <c r="F784" i="1"/>
  <c r="G784" i="1" s="1"/>
  <c r="AO783" i="1"/>
  <c r="AN783" i="1"/>
  <c r="X783" i="1"/>
  <c r="U783" i="1"/>
  <c r="R783" i="1"/>
  <c r="O783" i="1"/>
  <c r="L783" i="1"/>
  <c r="H783" i="1"/>
  <c r="G783" i="1"/>
  <c r="F783" i="1"/>
  <c r="AO782" i="1"/>
  <c r="AN782" i="1"/>
  <c r="X782" i="1"/>
  <c r="U782" i="1"/>
  <c r="R782" i="1"/>
  <c r="O782" i="1"/>
  <c r="L782" i="1"/>
  <c r="H782" i="1"/>
  <c r="F782" i="1"/>
  <c r="G782" i="1" s="1"/>
  <c r="AO781" i="1"/>
  <c r="AN781" i="1"/>
  <c r="X781" i="1"/>
  <c r="U781" i="1"/>
  <c r="R781" i="1"/>
  <c r="Q781" i="1"/>
  <c r="O781" i="1" s="1"/>
  <c r="N781" i="1"/>
  <c r="L781" i="1" s="1"/>
  <c r="H781" i="1"/>
  <c r="F781" i="1"/>
  <c r="G781" i="1" s="1"/>
  <c r="AO780" i="1"/>
  <c r="AN780" i="1"/>
  <c r="X780" i="1"/>
  <c r="U780" i="1"/>
  <c r="R780" i="1"/>
  <c r="Q780" i="1"/>
  <c r="O780" i="1" s="1"/>
  <c r="N780" i="1"/>
  <c r="L780" i="1" s="1"/>
  <c r="H780" i="1"/>
  <c r="F780" i="1"/>
  <c r="G780" i="1" s="1"/>
  <c r="AO779" i="1"/>
  <c r="AN779" i="1"/>
  <c r="X779" i="1"/>
  <c r="U779" i="1"/>
  <c r="R779" i="1"/>
  <c r="Q779" i="1"/>
  <c r="O779" i="1" s="1"/>
  <c r="N779" i="1"/>
  <c r="L779" i="1" s="1"/>
  <c r="H779" i="1"/>
  <c r="F779" i="1"/>
  <c r="G779" i="1" s="1"/>
  <c r="AO778" i="1"/>
  <c r="AN778" i="1"/>
  <c r="X778" i="1"/>
  <c r="U778" i="1"/>
  <c r="R778" i="1"/>
  <c r="O778" i="1"/>
  <c r="N778" i="1"/>
  <c r="L778" i="1" s="1"/>
  <c r="J778" i="1"/>
  <c r="H778" i="1" s="1"/>
  <c r="F778" i="1"/>
  <c r="G778" i="1" s="1"/>
  <c r="AJ793" i="1" l="1"/>
  <c r="AU793" i="1" s="1"/>
  <c r="AJ784" i="1"/>
  <c r="AU784" i="1" s="1"/>
  <c r="AJ789" i="1"/>
  <c r="AU789" i="1" s="1"/>
  <c r="AJ787" i="1"/>
  <c r="AU787" i="1" s="1"/>
  <c r="AJ782" i="1"/>
  <c r="AU782" i="1" s="1"/>
  <c r="AJ781" i="1"/>
  <c r="AU781" i="1" s="1"/>
  <c r="AJ786" i="1"/>
  <c r="AU786" i="1" s="1"/>
  <c r="AJ780" i="1"/>
  <c r="AU780" i="1" s="1"/>
  <c r="AJ783" i="1"/>
  <c r="AU783" i="1" s="1"/>
  <c r="AJ779" i="1"/>
  <c r="AU779" i="1" s="1"/>
  <c r="AJ778" i="1"/>
  <c r="AU778" i="1" s="1"/>
  <c r="AJ790" i="1"/>
  <c r="AU790" i="1" s="1"/>
  <c r="AJ792" i="1"/>
  <c r="AU792" i="1" s="1"/>
  <c r="AJ785" i="1"/>
  <c r="AU785" i="1" s="1"/>
  <c r="AJ791" i="1"/>
  <c r="AU791" i="1" s="1"/>
  <c r="AJ788" i="1"/>
  <c r="AU788" i="1" s="1"/>
  <c r="AP767" i="1"/>
  <c r="AO777" i="1" l="1"/>
  <c r="AN777" i="1"/>
  <c r="X777" i="1"/>
  <c r="U777" i="1"/>
  <c r="R777" i="1"/>
  <c r="O777" i="1"/>
  <c r="L777" i="1"/>
  <c r="H777" i="1"/>
  <c r="F777" i="1"/>
  <c r="G777" i="1" s="1"/>
  <c r="AO776" i="1"/>
  <c r="AN776" i="1"/>
  <c r="X776" i="1"/>
  <c r="U776" i="1"/>
  <c r="R776" i="1"/>
  <c r="O776" i="1"/>
  <c r="L776" i="1"/>
  <c r="H776" i="1"/>
  <c r="F776" i="1"/>
  <c r="G776" i="1" s="1"/>
  <c r="AO775" i="1"/>
  <c r="AN775" i="1"/>
  <c r="X775" i="1"/>
  <c r="U775" i="1"/>
  <c r="R775" i="1"/>
  <c r="O775" i="1"/>
  <c r="L775" i="1"/>
  <c r="H775" i="1"/>
  <c r="F775" i="1"/>
  <c r="G775" i="1" s="1"/>
  <c r="AO774" i="1"/>
  <c r="AN774" i="1"/>
  <c r="X774" i="1"/>
  <c r="U774" i="1"/>
  <c r="R774" i="1"/>
  <c r="O774" i="1"/>
  <c r="L774" i="1"/>
  <c r="H774" i="1"/>
  <c r="F774" i="1"/>
  <c r="G774" i="1" s="1"/>
  <c r="AO773" i="1"/>
  <c r="AN773" i="1"/>
  <c r="AK773" i="1"/>
  <c r="X773" i="1"/>
  <c r="U773" i="1"/>
  <c r="T773" i="1"/>
  <c r="R773" i="1" s="1"/>
  <c r="O773" i="1"/>
  <c r="L773" i="1"/>
  <c r="H773" i="1"/>
  <c r="F773" i="1"/>
  <c r="G773" i="1" s="1"/>
  <c r="AO772" i="1"/>
  <c r="AN772" i="1"/>
  <c r="Z772" i="1"/>
  <c r="X772" i="1" s="1"/>
  <c r="W772" i="1"/>
  <c r="U772" i="1" s="1"/>
  <c r="T772" i="1"/>
  <c r="R772" i="1" s="1"/>
  <c r="Q772" i="1"/>
  <c r="O772" i="1" s="1"/>
  <c r="L772" i="1"/>
  <c r="J772" i="1"/>
  <c r="H772" i="1" s="1"/>
  <c r="F772" i="1"/>
  <c r="G772" i="1" s="1"/>
  <c r="AO771" i="1"/>
  <c r="AN771" i="1"/>
  <c r="AK771" i="1"/>
  <c r="Z771" i="1"/>
  <c r="X771" i="1" s="1"/>
  <c r="W771" i="1"/>
  <c r="U771" i="1" s="1"/>
  <c r="T771" i="1"/>
  <c r="R771" i="1" s="1"/>
  <c r="Q771" i="1"/>
  <c r="O771" i="1" s="1"/>
  <c r="N771" i="1"/>
  <c r="L771" i="1" s="1"/>
  <c r="J771" i="1"/>
  <c r="H771" i="1" s="1"/>
  <c r="F771" i="1"/>
  <c r="G771" i="1" s="1"/>
  <c r="AO770" i="1"/>
  <c r="AN770" i="1"/>
  <c r="Z770" i="1"/>
  <c r="X770" i="1" s="1"/>
  <c r="W770" i="1"/>
  <c r="U770" i="1" s="1"/>
  <c r="T770" i="1"/>
  <c r="R770" i="1" s="1"/>
  <c r="Q770" i="1"/>
  <c r="O770" i="1" s="1"/>
  <c r="N770" i="1"/>
  <c r="L770" i="1" s="1"/>
  <c r="H770" i="1"/>
  <c r="F770" i="1"/>
  <c r="G770" i="1" s="1"/>
  <c r="AO769" i="1"/>
  <c r="AN769" i="1"/>
  <c r="X769" i="1"/>
  <c r="U769" i="1"/>
  <c r="R769" i="1"/>
  <c r="O769" i="1"/>
  <c r="L769" i="1"/>
  <c r="H769" i="1"/>
  <c r="F769" i="1"/>
  <c r="G769" i="1" s="1"/>
  <c r="AO768" i="1"/>
  <c r="AN768" i="1"/>
  <c r="AK768" i="1"/>
  <c r="X768" i="1"/>
  <c r="U768" i="1"/>
  <c r="R768" i="1"/>
  <c r="O768" i="1"/>
  <c r="L768" i="1"/>
  <c r="H768" i="1"/>
  <c r="F768" i="1"/>
  <c r="G768" i="1" s="1"/>
  <c r="AO767" i="1"/>
  <c r="AN767" i="1"/>
  <c r="X767" i="1"/>
  <c r="U767" i="1"/>
  <c r="R767" i="1"/>
  <c r="O767" i="1"/>
  <c r="L767" i="1"/>
  <c r="H767" i="1"/>
  <c r="F767" i="1"/>
  <c r="G767" i="1" s="1"/>
  <c r="AO766" i="1"/>
  <c r="AN766" i="1"/>
  <c r="X766" i="1"/>
  <c r="U766" i="1"/>
  <c r="R766" i="1"/>
  <c r="O766" i="1"/>
  <c r="L766" i="1"/>
  <c r="H766" i="1"/>
  <c r="F766" i="1"/>
  <c r="G766" i="1" s="1"/>
  <c r="AO765" i="1"/>
  <c r="AN765" i="1"/>
  <c r="X765" i="1"/>
  <c r="U765" i="1"/>
  <c r="R765" i="1"/>
  <c r="O765" i="1"/>
  <c r="L765" i="1"/>
  <c r="H765" i="1"/>
  <c r="F765" i="1"/>
  <c r="G765" i="1" s="1"/>
  <c r="AO764" i="1"/>
  <c r="AN764" i="1"/>
  <c r="X764" i="1"/>
  <c r="U764" i="1"/>
  <c r="R764" i="1"/>
  <c r="O764" i="1"/>
  <c r="L764" i="1"/>
  <c r="H764" i="1"/>
  <c r="F764" i="1"/>
  <c r="G764" i="1" s="1"/>
  <c r="AO763" i="1"/>
  <c r="AN763" i="1"/>
  <c r="X763" i="1"/>
  <c r="U763" i="1"/>
  <c r="R763" i="1"/>
  <c r="O763" i="1"/>
  <c r="L763" i="1"/>
  <c r="H763" i="1"/>
  <c r="F763" i="1"/>
  <c r="G763" i="1" s="1"/>
  <c r="AO762" i="1"/>
  <c r="AN762" i="1"/>
  <c r="X762" i="1"/>
  <c r="U762" i="1"/>
  <c r="R762" i="1"/>
  <c r="O762" i="1"/>
  <c r="L762" i="1"/>
  <c r="H762" i="1"/>
  <c r="F762" i="1"/>
  <c r="G762" i="1" s="1"/>
  <c r="AO761" i="1"/>
  <c r="AN761" i="1"/>
  <c r="X761" i="1"/>
  <c r="U761" i="1"/>
  <c r="R761" i="1"/>
  <c r="O761" i="1"/>
  <c r="L761" i="1"/>
  <c r="H761" i="1"/>
  <c r="F761" i="1"/>
  <c r="G761" i="1" s="1"/>
  <c r="AO760" i="1"/>
  <c r="AN760" i="1"/>
  <c r="X760" i="1"/>
  <c r="U760" i="1"/>
  <c r="R760" i="1"/>
  <c r="O760" i="1"/>
  <c r="L760" i="1"/>
  <c r="H760" i="1"/>
  <c r="F760" i="1"/>
  <c r="G760" i="1" s="1"/>
  <c r="AO759" i="1"/>
  <c r="AN759" i="1"/>
  <c r="X759" i="1"/>
  <c r="U759" i="1"/>
  <c r="R759" i="1"/>
  <c r="O759" i="1"/>
  <c r="L759" i="1"/>
  <c r="H759" i="1"/>
  <c r="F759" i="1"/>
  <c r="G759" i="1" s="1"/>
  <c r="AO758" i="1"/>
  <c r="AN758" i="1"/>
  <c r="X758" i="1"/>
  <c r="U758" i="1"/>
  <c r="R758" i="1"/>
  <c r="O758" i="1"/>
  <c r="L758" i="1"/>
  <c r="H758" i="1"/>
  <c r="F758" i="1"/>
  <c r="G758" i="1" s="1"/>
  <c r="AO757" i="1"/>
  <c r="AN757" i="1"/>
  <c r="X757" i="1"/>
  <c r="U757" i="1"/>
  <c r="R757" i="1"/>
  <c r="O757" i="1"/>
  <c r="L757" i="1"/>
  <c r="H757" i="1"/>
  <c r="F757" i="1"/>
  <c r="G757" i="1" s="1"/>
  <c r="AO756" i="1"/>
  <c r="AN756" i="1"/>
  <c r="X756" i="1"/>
  <c r="U756" i="1"/>
  <c r="R756" i="1"/>
  <c r="O756" i="1"/>
  <c r="L756" i="1"/>
  <c r="H756" i="1"/>
  <c r="F756" i="1"/>
  <c r="G756" i="1" s="1"/>
  <c r="AO755" i="1"/>
  <c r="AN755" i="1"/>
  <c r="X755" i="1"/>
  <c r="U755" i="1"/>
  <c r="R755" i="1"/>
  <c r="Q755" i="1"/>
  <c r="O755" i="1" s="1"/>
  <c r="L755" i="1"/>
  <c r="H755" i="1"/>
  <c r="F755" i="1"/>
  <c r="G755" i="1" s="1"/>
  <c r="AO754" i="1"/>
  <c r="AN754" i="1"/>
  <c r="Z754" i="1"/>
  <c r="X754" i="1" s="1"/>
  <c r="U754" i="1"/>
  <c r="R754" i="1"/>
  <c r="O754" i="1"/>
  <c r="L754" i="1"/>
  <c r="I754" i="1"/>
  <c r="H754" i="1" s="1"/>
  <c r="F754" i="1"/>
  <c r="G754" i="1" s="1"/>
  <c r="AO753" i="1"/>
  <c r="AN753" i="1"/>
  <c r="Z753" i="1"/>
  <c r="X753" i="1" s="1"/>
  <c r="U753" i="1"/>
  <c r="R753" i="1"/>
  <c r="O753" i="1"/>
  <c r="L753" i="1"/>
  <c r="I753" i="1"/>
  <c r="H753" i="1" s="1"/>
  <c r="F753" i="1"/>
  <c r="G753" i="1" s="1"/>
  <c r="AO752" i="1"/>
  <c r="AN752" i="1"/>
  <c r="Z752" i="1"/>
  <c r="X752" i="1" s="1"/>
  <c r="U752" i="1"/>
  <c r="R752" i="1"/>
  <c r="O752" i="1"/>
  <c r="L752" i="1"/>
  <c r="I752" i="1"/>
  <c r="H752" i="1" s="1"/>
  <c r="F752" i="1"/>
  <c r="G752" i="1" s="1"/>
  <c r="AO751" i="1"/>
  <c r="AN751" i="1"/>
  <c r="Z751" i="1"/>
  <c r="X751" i="1" s="1"/>
  <c r="U751" i="1"/>
  <c r="R751" i="1"/>
  <c r="O751" i="1"/>
  <c r="L751" i="1"/>
  <c r="H751" i="1"/>
  <c r="F751" i="1"/>
  <c r="G751" i="1" s="1"/>
  <c r="AJ768" i="1" l="1"/>
  <c r="AU768" i="1" s="1"/>
  <c r="AJ754" i="1"/>
  <c r="AU754" i="1" s="1"/>
  <c r="AJ766" i="1"/>
  <c r="AU766" i="1" s="1"/>
  <c r="AJ765" i="1"/>
  <c r="AU765" i="1" s="1"/>
  <c r="AJ756" i="1"/>
  <c r="AU756" i="1" s="1"/>
  <c r="AJ760" i="1"/>
  <c r="AU760" i="1" s="1"/>
  <c r="AJ769" i="1"/>
  <c r="AU769" i="1" s="1"/>
  <c r="AJ755" i="1"/>
  <c r="AU755" i="1" s="1"/>
  <c r="AJ772" i="1"/>
  <c r="AU772" i="1" s="1"/>
  <c r="AJ773" i="1"/>
  <c r="AU773" i="1" s="1"/>
  <c r="AJ767" i="1"/>
  <c r="AU767" i="1" s="1"/>
  <c r="AJ753" i="1"/>
  <c r="AU753" i="1" s="1"/>
  <c r="AJ752" i="1"/>
  <c r="AU752" i="1" s="1"/>
  <c r="AJ762" i="1"/>
  <c r="AU762" i="1" s="1"/>
  <c r="AJ764" i="1"/>
  <c r="AU764" i="1" s="1"/>
  <c r="AJ759" i="1"/>
  <c r="AU759" i="1" s="1"/>
  <c r="AJ777" i="1"/>
  <c r="AU777" i="1" s="1"/>
  <c r="AJ751" i="1"/>
  <c r="AU751" i="1" s="1"/>
  <c r="AJ763" i="1"/>
  <c r="AU763" i="1" s="1"/>
  <c r="AJ757" i="1"/>
  <c r="AU757" i="1" s="1"/>
  <c r="AJ758" i="1"/>
  <c r="AU758" i="1" s="1"/>
  <c r="AJ776" i="1"/>
  <c r="AU776" i="1" s="1"/>
  <c r="AJ775" i="1"/>
  <c r="AU775" i="1" s="1"/>
  <c r="AJ761" i="1"/>
  <c r="AU761" i="1" s="1"/>
  <c r="AJ774" i="1"/>
  <c r="AU774" i="1" s="1"/>
  <c r="AJ771" i="1"/>
  <c r="AU771" i="1" s="1"/>
  <c r="AJ770" i="1"/>
  <c r="AU770" i="1" s="1"/>
  <c r="AO750" i="1" l="1"/>
  <c r="AN750" i="1"/>
  <c r="AK750" i="1"/>
  <c r="X750" i="1"/>
  <c r="U750" i="1"/>
  <c r="R750" i="1"/>
  <c r="O750" i="1"/>
  <c r="L750" i="1"/>
  <c r="H750" i="1"/>
  <c r="F750" i="1"/>
  <c r="G750" i="1" s="1"/>
  <c r="AO749" i="1"/>
  <c r="X749" i="1"/>
  <c r="U749" i="1"/>
  <c r="R749" i="1"/>
  <c r="O749" i="1"/>
  <c r="L749" i="1"/>
  <c r="H749" i="1"/>
  <c r="F749" i="1"/>
  <c r="G749" i="1" s="1"/>
  <c r="AO748" i="1"/>
  <c r="AK748" i="1"/>
  <c r="X748" i="1"/>
  <c r="U748" i="1"/>
  <c r="R748" i="1"/>
  <c r="O748" i="1"/>
  <c r="L748" i="1"/>
  <c r="H748" i="1"/>
  <c r="F748" i="1"/>
  <c r="G748" i="1" s="1"/>
  <c r="AO747" i="1"/>
  <c r="X747" i="1"/>
  <c r="U747" i="1"/>
  <c r="R747" i="1"/>
  <c r="O747" i="1"/>
  <c r="L747" i="1"/>
  <c r="H747" i="1"/>
  <c r="F747" i="1"/>
  <c r="G747" i="1" s="1"/>
  <c r="AO746" i="1"/>
  <c r="X746" i="1"/>
  <c r="U746" i="1"/>
  <c r="R746" i="1"/>
  <c r="O746" i="1"/>
  <c r="L746" i="1"/>
  <c r="H746" i="1"/>
  <c r="F746" i="1"/>
  <c r="G746" i="1" s="1"/>
  <c r="AO745" i="1"/>
  <c r="X745" i="1"/>
  <c r="U745" i="1"/>
  <c r="R745" i="1"/>
  <c r="O745" i="1"/>
  <c r="L745" i="1"/>
  <c r="H745" i="1"/>
  <c r="F745" i="1"/>
  <c r="G745" i="1" s="1"/>
  <c r="AO744" i="1"/>
  <c r="AN744" i="1"/>
  <c r="AK744" i="1"/>
  <c r="X744" i="1"/>
  <c r="U744" i="1"/>
  <c r="R744" i="1"/>
  <c r="O744" i="1"/>
  <c r="L744" i="1"/>
  <c r="H744" i="1"/>
  <c r="F744" i="1"/>
  <c r="G744" i="1" s="1"/>
  <c r="AN743" i="1"/>
  <c r="AM743" i="1"/>
  <c r="AO743" i="1" s="1"/>
  <c r="X743" i="1"/>
  <c r="U743" i="1"/>
  <c r="R743" i="1"/>
  <c r="O743" i="1"/>
  <c r="L743" i="1"/>
  <c r="H743" i="1"/>
  <c r="F743" i="1"/>
  <c r="G743" i="1" s="1"/>
  <c r="AO742" i="1"/>
  <c r="AN742" i="1"/>
  <c r="X742" i="1"/>
  <c r="U742" i="1"/>
  <c r="R742" i="1"/>
  <c r="Q742" i="1"/>
  <c r="O742" i="1" s="1"/>
  <c r="N742" i="1"/>
  <c r="L742" i="1" s="1"/>
  <c r="J742" i="1"/>
  <c r="H742" i="1" s="1"/>
  <c r="F742" i="1"/>
  <c r="G742" i="1" s="1"/>
  <c r="AO741" i="1"/>
  <c r="AN741" i="1"/>
  <c r="X741" i="1"/>
  <c r="U741" i="1"/>
  <c r="T741" i="1"/>
  <c r="R741" i="1" s="1"/>
  <c r="O741" i="1"/>
  <c r="L741" i="1"/>
  <c r="H741" i="1"/>
  <c r="F741" i="1"/>
  <c r="G741" i="1" s="1"/>
  <c r="AO740" i="1"/>
  <c r="AN740" i="1"/>
  <c r="Z740" i="1"/>
  <c r="X740" i="1" s="1"/>
  <c r="U740" i="1"/>
  <c r="R740" i="1"/>
  <c r="O740" i="1"/>
  <c r="L740" i="1"/>
  <c r="H740" i="1"/>
  <c r="B740" i="1"/>
  <c r="F740" i="1" s="1"/>
  <c r="G740" i="1" s="1"/>
  <c r="AO739" i="1"/>
  <c r="X739" i="1"/>
  <c r="U739" i="1"/>
  <c r="R739" i="1"/>
  <c r="O739" i="1"/>
  <c r="L739" i="1"/>
  <c r="H739" i="1"/>
  <c r="F739" i="1"/>
  <c r="G739" i="1" s="1"/>
  <c r="AO738" i="1"/>
  <c r="AK738" i="1"/>
  <c r="X738" i="1"/>
  <c r="U738" i="1"/>
  <c r="R738" i="1"/>
  <c r="O738" i="1"/>
  <c r="L738" i="1"/>
  <c r="H738" i="1"/>
  <c r="F738" i="1"/>
  <c r="G738" i="1" s="1"/>
  <c r="AO737" i="1"/>
  <c r="X737" i="1"/>
  <c r="U737" i="1"/>
  <c r="R737" i="1"/>
  <c r="O737" i="1"/>
  <c r="L737" i="1"/>
  <c r="H737" i="1"/>
  <c r="F737" i="1"/>
  <c r="G737" i="1" s="1"/>
  <c r="AO736" i="1"/>
  <c r="AN736" i="1"/>
  <c r="AK736" i="1"/>
  <c r="X736" i="1"/>
  <c r="U736" i="1"/>
  <c r="R736" i="1"/>
  <c r="O736" i="1"/>
  <c r="L736" i="1"/>
  <c r="H736" i="1"/>
  <c r="F736" i="1"/>
  <c r="G736" i="1" s="1"/>
  <c r="AO735" i="1"/>
  <c r="X735" i="1"/>
  <c r="U735" i="1"/>
  <c r="R735" i="1"/>
  <c r="O735" i="1"/>
  <c r="L735" i="1"/>
  <c r="H735" i="1"/>
  <c r="F735" i="1"/>
  <c r="G735" i="1" s="1"/>
  <c r="AJ735" i="1" l="1"/>
  <c r="AU735" i="1" s="1"/>
  <c r="AJ736" i="1"/>
  <c r="AU736" i="1" s="1"/>
  <c r="AJ747" i="1"/>
  <c r="AU747" i="1" s="1"/>
  <c r="AJ748" i="1"/>
  <c r="AU748" i="1" s="1"/>
  <c r="AJ745" i="1"/>
  <c r="AU745" i="1" s="1"/>
  <c r="AJ738" i="1"/>
  <c r="AU738" i="1" s="1"/>
  <c r="AJ746" i="1"/>
  <c r="AU746" i="1" s="1"/>
  <c r="AJ737" i="1"/>
  <c r="AU737" i="1" s="1"/>
  <c r="AJ740" i="1"/>
  <c r="AU740" i="1" s="1"/>
  <c r="AJ744" i="1"/>
  <c r="AU744" i="1" s="1"/>
  <c r="AJ749" i="1"/>
  <c r="AU749" i="1" s="1"/>
  <c r="AJ742" i="1"/>
  <c r="AU742" i="1" s="1"/>
  <c r="AJ743" i="1"/>
  <c r="AU743" i="1" s="1"/>
  <c r="AJ739" i="1"/>
  <c r="AU739" i="1" s="1"/>
  <c r="AJ750" i="1"/>
  <c r="AU750" i="1" s="1"/>
  <c r="AJ741" i="1"/>
  <c r="AU741" i="1" s="1"/>
  <c r="AO734" i="1" l="1"/>
  <c r="AN734" i="1"/>
  <c r="AK734" i="1"/>
  <c r="Z734" i="1"/>
  <c r="X734" i="1" s="1"/>
  <c r="U734" i="1"/>
  <c r="R734" i="1"/>
  <c r="Q734" i="1"/>
  <c r="O734" i="1" s="1"/>
  <c r="N734" i="1"/>
  <c r="L734" i="1" s="1"/>
  <c r="J734" i="1"/>
  <c r="H734" i="1" s="1"/>
  <c r="F734" i="1"/>
  <c r="G734" i="1" s="1"/>
  <c r="AO733" i="1"/>
  <c r="AN733" i="1"/>
  <c r="AK733" i="1"/>
  <c r="X733" i="1"/>
  <c r="U733" i="1"/>
  <c r="R733" i="1"/>
  <c r="O733" i="1"/>
  <c r="L733" i="1"/>
  <c r="I733" i="1"/>
  <c r="H733" i="1" s="1"/>
  <c r="E733" i="1"/>
  <c r="F733" i="1" s="1"/>
  <c r="G733" i="1" s="1"/>
  <c r="AO732" i="1"/>
  <c r="AN732" i="1"/>
  <c r="AK732" i="1"/>
  <c r="X732" i="1"/>
  <c r="U732" i="1"/>
  <c r="R732" i="1"/>
  <c r="O732" i="1"/>
  <c r="L732" i="1"/>
  <c r="H732" i="1"/>
  <c r="F732" i="1"/>
  <c r="G732" i="1" s="1"/>
  <c r="AO731" i="1"/>
  <c r="AN731" i="1"/>
  <c r="AK731" i="1"/>
  <c r="X731" i="1"/>
  <c r="U731" i="1"/>
  <c r="R731" i="1"/>
  <c r="O731" i="1"/>
  <c r="L731" i="1"/>
  <c r="I731" i="1"/>
  <c r="H731" i="1" s="1"/>
  <c r="F731" i="1"/>
  <c r="G731" i="1" s="1"/>
  <c r="AO730" i="1"/>
  <c r="AN730" i="1"/>
  <c r="AK730" i="1"/>
  <c r="X730" i="1"/>
  <c r="U730" i="1"/>
  <c r="R730" i="1"/>
  <c r="O730" i="1"/>
  <c r="M730" i="1"/>
  <c r="L730" i="1" s="1"/>
  <c r="H730" i="1"/>
  <c r="F730" i="1"/>
  <c r="G730" i="1" s="1"/>
  <c r="AO729" i="1"/>
  <c r="AN729" i="1"/>
  <c r="AK729" i="1"/>
  <c r="X729" i="1"/>
  <c r="U729" i="1"/>
  <c r="R729" i="1"/>
  <c r="O729" i="1"/>
  <c r="L729" i="1"/>
  <c r="H729" i="1"/>
  <c r="F729" i="1"/>
  <c r="G729" i="1" s="1"/>
  <c r="AO728" i="1"/>
  <c r="AN728" i="1"/>
  <c r="AK728" i="1"/>
  <c r="X728" i="1"/>
  <c r="U728" i="1"/>
  <c r="R728" i="1"/>
  <c r="O728" i="1"/>
  <c r="L728" i="1"/>
  <c r="H728" i="1"/>
  <c r="F728" i="1"/>
  <c r="G728" i="1" s="1"/>
  <c r="AO727" i="1"/>
  <c r="AN727" i="1"/>
  <c r="AK727" i="1"/>
  <c r="X727" i="1"/>
  <c r="U727" i="1"/>
  <c r="R727" i="1"/>
  <c r="O727" i="1"/>
  <c r="L727" i="1"/>
  <c r="H727" i="1"/>
  <c r="F727" i="1"/>
  <c r="G727" i="1" s="1"/>
  <c r="AO726" i="1"/>
  <c r="AN726" i="1"/>
  <c r="AK726" i="1"/>
  <c r="X726" i="1"/>
  <c r="U726" i="1"/>
  <c r="R726" i="1"/>
  <c r="O726" i="1"/>
  <c r="L726" i="1"/>
  <c r="H726" i="1"/>
  <c r="F726" i="1"/>
  <c r="AO725" i="1"/>
  <c r="AN725" i="1"/>
  <c r="AK725" i="1"/>
  <c r="X725" i="1"/>
  <c r="U725" i="1"/>
  <c r="R725" i="1"/>
  <c r="O725" i="1"/>
  <c r="L725" i="1"/>
  <c r="H725" i="1"/>
  <c r="F725" i="1"/>
  <c r="G725" i="1" s="1"/>
  <c r="AO724" i="1"/>
  <c r="AN724" i="1"/>
  <c r="AK724" i="1"/>
  <c r="X724" i="1"/>
  <c r="U724" i="1"/>
  <c r="R724" i="1"/>
  <c r="O724" i="1"/>
  <c r="L724" i="1"/>
  <c r="H724" i="1"/>
  <c r="F724" i="1"/>
  <c r="G724" i="1" s="1"/>
  <c r="AO723" i="1"/>
  <c r="AN723" i="1"/>
  <c r="AK723" i="1"/>
  <c r="X723" i="1"/>
  <c r="U723" i="1"/>
  <c r="R723" i="1"/>
  <c r="O723" i="1"/>
  <c r="L723" i="1"/>
  <c r="H723" i="1"/>
  <c r="F723" i="1"/>
  <c r="G723" i="1" s="1"/>
  <c r="AO722" i="1"/>
  <c r="AN722" i="1"/>
  <c r="AK722" i="1"/>
  <c r="X722" i="1"/>
  <c r="U722" i="1"/>
  <c r="R722" i="1"/>
  <c r="O722" i="1"/>
  <c r="L722" i="1"/>
  <c r="J722" i="1"/>
  <c r="H722" i="1" s="1"/>
  <c r="F722" i="1"/>
  <c r="G722" i="1" s="1"/>
  <c r="AO721" i="1"/>
  <c r="AN721" i="1"/>
  <c r="AK721" i="1"/>
  <c r="AJ721" i="1"/>
  <c r="X721" i="1"/>
  <c r="U721" i="1"/>
  <c r="R721" i="1"/>
  <c r="O721" i="1"/>
  <c r="L721" i="1"/>
  <c r="H721" i="1"/>
  <c r="F721" i="1"/>
  <c r="G721" i="1" s="1"/>
  <c r="AO720" i="1"/>
  <c r="AN720" i="1"/>
  <c r="AK720" i="1"/>
  <c r="X720" i="1"/>
  <c r="U720" i="1"/>
  <c r="R720" i="1"/>
  <c r="O720" i="1"/>
  <c r="L720" i="1"/>
  <c r="H720" i="1"/>
  <c r="F720" i="1"/>
  <c r="G720" i="1" s="1"/>
  <c r="AO719" i="1"/>
  <c r="AK719" i="1"/>
  <c r="X719" i="1"/>
  <c r="U719" i="1"/>
  <c r="R719" i="1"/>
  <c r="O719" i="1"/>
  <c r="L719" i="1"/>
  <c r="H719" i="1"/>
  <c r="F719" i="1"/>
  <c r="G719" i="1" s="1"/>
  <c r="AO718" i="1"/>
  <c r="AK718" i="1"/>
  <c r="X718" i="1"/>
  <c r="U718" i="1"/>
  <c r="R718" i="1"/>
  <c r="O718" i="1"/>
  <c r="L718" i="1"/>
  <c r="H718" i="1"/>
  <c r="F718" i="1"/>
  <c r="G718" i="1" s="1"/>
  <c r="AO717" i="1"/>
  <c r="AK717" i="1"/>
  <c r="X717" i="1"/>
  <c r="U717" i="1"/>
  <c r="R717" i="1"/>
  <c r="O717" i="1"/>
  <c r="L717" i="1"/>
  <c r="H717" i="1"/>
  <c r="F717" i="1"/>
  <c r="G717" i="1" s="1"/>
  <c r="AO716" i="1"/>
  <c r="AK716" i="1"/>
  <c r="X716" i="1"/>
  <c r="U716" i="1"/>
  <c r="R716" i="1"/>
  <c r="O716" i="1"/>
  <c r="M716" i="1"/>
  <c r="L716" i="1" s="1"/>
  <c r="H716" i="1"/>
  <c r="F716" i="1"/>
  <c r="G716" i="1" s="1"/>
  <c r="AO715" i="1"/>
  <c r="AK715" i="1"/>
  <c r="X715" i="1"/>
  <c r="U715" i="1"/>
  <c r="R715" i="1"/>
  <c r="O715" i="1"/>
  <c r="L715" i="1"/>
  <c r="H715" i="1"/>
  <c r="F715" i="1"/>
  <c r="G715" i="1" s="1"/>
  <c r="AO714" i="1"/>
  <c r="AK714" i="1"/>
  <c r="Z714" i="1"/>
  <c r="X714" i="1" s="1"/>
  <c r="U714" i="1"/>
  <c r="R714" i="1"/>
  <c r="O714" i="1"/>
  <c r="L714" i="1"/>
  <c r="H714" i="1"/>
  <c r="F714" i="1"/>
  <c r="G714" i="1" s="1"/>
  <c r="AO713" i="1"/>
  <c r="AK713" i="1"/>
  <c r="Z713" i="1"/>
  <c r="X713" i="1" s="1"/>
  <c r="U713" i="1"/>
  <c r="R713" i="1"/>
  <c r="O713" i="1"/>
  <c r="L713" i="1"/>
  <c r="H713" i="1"/>
  <c r="F713" i="1"/>
  <c r="G713" i="1" s="1"/>
  <c r="AO712" i="1"/>
  <c r="AK712" i="1"/>
  <c r="X712" i="1"/>
  <c r="U712" i="1"/>
  <c r="R712" i="1"/>
  <c r="O712" i="1"/>
  <c r="L712" i="1"/>
  <c r="H712" i="1"/>
  <c r="F712" i="1"/>
  <c r="G712" i="1" s="1"/>
  <c r="AO711" i="1"/>
  <c r="AK711" i="1"/>
  <c r="Z711" i="1"/>
  <c r="X711" i="1" s="1"/>
  <c r="U711" i="1"/>
  <c r="R711" i="1"/>
  <c r="O711" i="1"/>
  <c r="M711" i="1"/>
  <c r="L711" i="1" s="1"/>
  <c r="H711" i="1"/>
  <c r="F711" i="1"/>
  <c r="G711" i="1" s="1"/>
  <c r="AO710" i="1"/>
  <c r="AK710" i="1"/>
  <c r="X710" i="1"/>
  <c r="U710" i="1"/>
  <c r="R710" i="1"/>
  <c r="O710" i="1"/>
  <c r="L710" i="1"/>
  <c r="H710" i="1"/>
  <c r="F710" i="1"/>
  <c r="G710" i="1" s="1"/>
  <c r="AO709" i="1"/>
  <c r="AN709" i="1"/>
  <c r="AK709" i="1"/>
  <c r="X709" i="1"/>
  <c r="U709" i="1"/>
  <c r="R709" i="1"/>
  <c r="O709" i="1"/>
  <c r="L709" i="1"/>
  <c r="H709" i="1"/>
  <c r="F709" i="1"/>
  <c r="G709" i="1" s="1"/>
  <c r="AO708" i="1"/>
  <c r="AN708" i="1"/>
  <c r="AK708" i="1"/>
  <c r="X708" i="1"/>
  <c r="U708" i="1"/>
  <c r="R708" i="1"/>
  <c r="O708" i="1"/>
  <c r="L708" i="1"/>
  <c r="H708" i="1"/>
  <c r="F708" i="1"/>
  <c r="G708" i="1" s="1"/>
  <c r="AO707" i="1"/>
  <c r="AN707" i="1"/>
  <c r="AK707" i="1"/>
  <c r="X707" i="1"/>
  <c r="U707" i="1"/>
  <c r="R707" i="1"/>
  <c r="O707" i="1"/>
  <c r="L707" i="1"/>
  <c r="H707" i="1"/>
  <c r="F707" i="1"/>
  <c r="G707" i="1" s="1"/>
  <c r="AO706" i="1"/>
  <c r="AN706" i="1"/>
  <c r="AK706" i="1"/>
  <c r="X706" i="1"/>
  <c r="U706" i="1"/>
  <c r="R706" i="1"/>
  <c r="O706" i="1"/>
  <c r="L706" i="1"/>
  <c r="H706" i="1"/>
  <c r="F706" i="1"/>
  <c r="AO705" i="1"/>
  <c r="AN705" i="1"/>
  <c r="AK705" i="1"/>
  <c r="X705" i="1"/>
  <c r="U705" i="1"/>
  <c r="R705" i="1"/>
  <c r="O705" i="1"/>
  <c r="L705" i="1"/>
  <c r="H705" i="1"/>
  <c r="F705" i="1"/>
  <c r="G705" i="1" s="1"/>
  <c r="AO704" i="1"/>
  <c r="AN704" i="1"/>
  <c r="AK704" i="1"/>
  <c r="X704" i="1"/>
  <c r="U704" i="1"/>
  <c r="R704" i="1"/>
  <c r="O704" i="1"/>
  <c r="L704" i="1"/>
  <c r="I704" i="1"/>
  <c r="H704" i="1" s="1"/>
  <c r="F704" i="1"/>
  <c r="G704" i="1" s="1"/>
  <c r="AO703" i="1"/>
  <c r="AN703" i="1"/>
  <c r="AK703" i="1"/>
  <c r="X703" i="1"/>
  <c r="U703" i="1"/>
  <c r="R703" i="1"/>
  <c r="O703" i="1"/>
  <c r="L703" i="1"/>
  <c r="H703" i="1"/>
  <c r="F703" i="1"/>
  <c r="G703" i="1" s="1"/>
  <c r="AO702" i="1"/>
  <c r="AN702" i="1"/>
  <c r="AK702" i="1"/>
  <c r="X702" i="1"/>
  <c r="U702" i="1"/>
  <c r="R702" i="1"/>
  <c r="O702" i="1"/>
  <c r="L702" i="1"/>
  <c r="H702" i="1"/>
  <c r="F702" i="1"/>
  <c r="G702" i="1" s="1"/>
  <c r="AO701" i="1"/>
  <c r="AN701" i="1"/>
  <c r="AK701" i="1"/>
  <c r="X701" i="1"/>
  <c r="U701" i="1"/>
  <c r="R701" i="1"/>
  <c r="O701" i="1"/>
  <c r="L701" i="1"/>
  <c r="H701" i="1"/>
  <c r="F701" i="1"/>
  <c r="G701" i="1" s="1"/>
  <c r="AO700" i="1"/>
  <c r="AN700" i="1"/>
  <c r="AK700" i="1"/>
  <c r="X700" i="1"/>
  <c r="U700" i="1"/>
  <c r="R700" i="1"/>
  <c r="O700" i="1"/>
  <c r="L700" i="1"/>
  <c r="H700" i="1"/>
  <c r="F700" i="1"/>
  <c r="G700" i="1" s="1"/>
  <c r="AO699" i="1"/>
  <c r="AN699" i="1"/>
  <c r="AK699" i="1"/>
  <c r="X699" i="1"/>
  <c r="U699" i="1"/>
  <c r="T699" i="1"/>
  <c r="R699" i="1" s="1"/>
  <c r="Q699" i="1"/>
  <c r="O699" i="1" s="1"/>
  <c r="L699" i="1"/>
  <c r="H699" i="1"/>
  <c r="F699" i="1"/>
  <c r="G699" i="1" s="1"/>
  <c r="AO698" i="1"/>
  <c r="AN698" i="1"/>
  <c r="AK698" i="1"/>
  <c r="X698" i="1"/>
  <c r="U698" i="1"/>
  <c r="R698" i="1"/>
  <c r="O698" i="1"/>
  <c r="N698" i="1"/>
  <c r="L698" i="1" s="1"/>
  <c r="H698" i="1"/>
  <c r="F698" i="1"/>
  <c r="G698" i="1" s="1"/>
  <c r="AO697" i="1"/>
  <c r="AN697" i="1"/>
  <c r="AK697" i="1"/>
  <c r="X697" i="1"/>
  <c r="U697" i="1"/>
  <c r="R697" i="1"/>
  <c r="O697" i="1"/>
  <c r="L697" i="1"/>
  <c r="H697" i="1"/>
  <c r="F697" i="1"/>
  <c r="G697" i="1" s="1"/>
  <c r="AO696" i="1"/>
  <c r="AN696" i="1"/>
  <c r="AK696" i="1"/>
  <c r="X696" i="1"/>
  <c r="U696" i="1"/>
  <c r="R696" i="1"/>
  <c r="O696" i="1"/>
  <c r="L696" i="1"/>
  <c r="H696" i="1"/>
  <c r="F696" i="1"/>
  <c r="G696" i="1" s="1"/>
  <c r="AO695" i="1"/>
  <c r="AN695" i="1"/>
  <c r="AK695" i="1"/>
  <c r="X695" i="1"/>
  <c r="U695" i="1"/>
  <c r="R695" i="1"/>
  <c r="O695" i="1"/>
  <c r="L695" i="1"/>
  <c r="H695" i="1"/>
  <c r="F695" i="1"/>
  <c r="G695" i="1" s="1"/>
  <c r="AO694" i="1"/>
  <c r="AN694" i="1"/>
  <c r="AK694" i="1"/>
  <c r="X694" i="1"/>
  <c r="U694" i="1"/>
  <c r="R694" i="1"/>
  <c r="O694" i="1"/>
  <c r="L694" i="1"/>
  <c r="I694" i="1"/>
  <c r="H694" i="1" s="1"/>
  <c r="F694" i="1"/>
  <c r="G694" i="1" s="1"/>
  <c r="AO693" i="1"/>
  <c r="AN693" i="1"/>
  <c r="AK693" i="1"/>
  <c r="X693" i="1"/>
  <c r="U693" i="1"/>
  <c r="R693" i="1"/>
  <c r="O693" i="1"/>
  <c r="L693" i="1"/>
  <c r="H693" i="1"/>
  <c r="F693" i="1"/>
  <c r="G693" i="1" s="1"/>
  <c r="AO692" i="1"/>
  <c r="AN692" i="1"/>
  <c r="AK692" i="1"/>
  <c r="X692" i="1"/>
  <c r="U692" i="1"/>
  <c r="R692" i="1"/>
  <c r="O692" i="1"/>
  <c r="L692" i="1"/>
  <c r="H692" i="1"/>
  <c r="F692" i="1"/>
  <c r="G692" i="1" s="1"/>
  <c r="AO691" i="1"/>
  <c r="AN691" i="1"/>
  <c r="AK691" i="1"/>
  <c r="X691" i="1"/>
  <c r="U691" i="1"/>
  <c r="R691" i="1"/>
  <c r="O691" i="1"/>
  <c r="L691" i="1"/>
  <c r="H691" i="1"/>
  <c r="F691" i="1"/>
  <c r="G691" i="1" s="1"/>
  <c r="AO690" i="1"/>
  <c r="AN690" i="1"/>
  <c r="AK690" i="1"/>
  <c r="X690" i="1"/>
  <c r="U690" i="1"/>
  <c r="R690" i="1"/>
  <c r="O690" i="1"/>
  <c r="L690" i="1"/>
  <c r="H690" i="1"/>
  <c r="F690" i="1"/>
  <c r="G690" i="1" s="1"/>
  <c r="AO689" i="1"/>
  <c r="AN689" i="1"/>
  <c r="AK689" i="1"/>
  <c r="X689" i="1"/>
  <c r="U689" i="1"/>
  <c r="R689" i="1"/>
  <c r="O689" i="1"/>
  <c r="L689" i="1"/>
  <c r="H689" i="1"/>
  <c r="F689" i="1"/>
  <c r="G689" i="1" s="1"/>
  <c r="AO688" i="1"/>
  <c r="AK688" i="1"/>
  <c r="X688" i="1"/>
  <c r="U688" i="1"/>
  <c r="R688" i="1"/>
  <c r="O688" i="1"/>
  <c r="L688" i="1"/>
  <c r="H688" i="1"/>
  <c r="F688" i="1"/>
  <c r="G688" i="1" s="1"/>
  <c r="AJ725" i="1" l="1"/>
  <c r="AJ720" i="1"/>
  <c r="AJ730" i="1"/>
  <c r="AU730" i="1" s="1"/>
  <c r="AJ704" i="1"/>
  <c r="AJ719" i="1"/>
  <c r="AJ694" i="1"/>
  <c r="AJ724" i="1"/>
  <c r="AJ723" i="1"/>
  <c r="AJ722" i="1"/>
  <c r="AJ712" i="1"/>
  <c r="AJ696" i="1"/>
  <c r="AJ703" i="1"/>
  <c r="AJ711" i="1"/>
  <c r="AJ695" i="1"/>
  <c r="AJ693" i="1"/>
  <c r="AJ692" i="1"/>
  <c r="AJ702" i="1"/>
  <c r="AJ710" i="1"/>
  <c r="AJ716" i="1"/>
  <c r="AJ733" i="1"/>
  <c r="AU733" i="1" s="1"/>
  <c r="AJ729" i="1"/>
  <c r="AJ731" i="1"/>
  <c r="AU731" i="1" s="1"/>
  <c r="AJ732" i="1"/>
  <c r="AU732" i="1" s="1"/>
  <c r="AJ691" i="1"/>
  <c r="AJ690" i="1"/>
  <c r="AJ701" i="1"/>
  <c r="AJ709" i="1"/>
  <c r="AJ708" i="1"/>
  <c r="AJ728" i="1"/>
  <c r="AJ689" i="1"/>
  <c r="AJ700" i="1"/>
  <c r="AJ707" i="1"/>
  <c r="AJ715" i="1"/>
  <c r="AJ688" i="1"/>
  <c r="AJ699" i="1"/>
  <c r="AJ706" i="1"/>
  <c r="AJ714" i="1"/>
  <c r="AJ727" i="1"/>
  <c r="AJ726" i="1"/>
  <c r="AJ698" i="1"/>
  <c r="AJ705" i="1"/>
  <c r="AJ713" i="1"/>
  <c r="AJ697" i="1"/>
  <c r="AJ717" i="1"/>
  <c r="AJ718" i="1"/>
  <c r="AJ734" i="1"/>
  <c r="AU734" i="1" s="1"/>
  <c r="AU710" i="1" l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09" i="1" l="1"/>
  <c r="AU708" i="1"/>
  <c r="AU707" i="1"/>
  <c r="AU706" i="1"/>
  <c r="AU705" i="1"/>
  <c r="AU696" i="1" l="1"/>
  <c r="AU697" i="1"/>
  <c r="AU698" i="1"/>
  <c r="AU699" i="1"/>
  <c r="AU700" i="1"/>
  <c r="AU701" i="1"/>
  <c r="AU702" i="1"/>
  <c r="AU703" i="1"/>
  <c r="AU704" i="1"/>
  <c r="AU690" i="1"/>
  <c r="AU691" i="1"/>
  <c r="AU692" i="1"/>
  <c r="AU693" i="1"/>
  <c r="AU694" i="1"/>
  <c r="AU695" i="1"/>
  <c r="AU688" i="1" l="1"/>
  <c r="AU689" i="1"/>
  <c r="AO687" i="1"/>
  <c r="AN687" i="1"/>
  <c r="AK687" i="1"/>
  <c r="X687" i="1"/>
  <c r="U687" i="1"/>
  <c r="R687" i="1"/>
  <c r="O687" i="1"/>
  <c r="L687" i="1"/>
  <c r="H687" i="1"/>
  <c r="F687" i="1"/>
  <c r="G687" i="1" s="1"/>
  <c r="AO686" i="1"/>
  <c r="AN686" i="1"/>
  <c r="AK686" i="1"/>
  <c r="X686" i="1"/>
  <c r="U686" i="1"/>
  <c r="R686" i="1"/>
  <c r="O686" i="1"/>
  <c r="L686" i="1"/>
  <c r="H686" i="1"/>
  <c r="F686" i="1"/>
  <c r="G686" i="1" s="1"/>
  <c r="AO685" i="1"/>
  <c r="AK685" i="1"/>
  <c r="X685" i="1"/>
  <c r="U685" i="1"/>
  <c r="R685" i="1"/>
  <c r="O685" i="1"/>
  <c r="L685" i="1"/>
  <c r="H685" i="1"/>
  <c r="F685" i="1"/>
  <c r="G685" i="1" s="1"/>
  <c r="AO684" i="1"/>
  <c r="AK684" i="1"/>
  <c r="X684" i="1"/>
  <c r="U684" i="1"/>
  <c r="R684" i="1"/>
  <c r="O684" i="1"/>
  <c r="L684" i="1"/>
  <c r="H684" i="1"/>
  <c r="F684" i="1"/>
  <c r="G684" i="1" s="1"/>
  <c r="AO683" i="1"/>
  <c r="AK683" i="1"/>
  <c r="X683" i="1"/>
  <c r="U683" i="1"/>
  <c r="R683" i="1"/>
  <c r="O683" i="1"/>
  <c r="L683" i="1"/>
  <c r="H683" i="1"/>
  <c r="F683" i="1"/>
  <c r="G683" i="1" s="1"/>
  <c r="AO682" i="1"/>
  <c r="AK682" i="1"/>
  <c r="X682" i="1"/>
  <c r="U682" i="1"/>
  <c r="R682" i="1"/>
  <c r="O682" i="1"/>
  <c r="L682" i="1"/>
  <c r="H682" i="1"/>
  <c r="F682" i="1"/>
  <c r="G682" i="1" s="1"/>
  <c r="AU682" i="1" s="1"/>
  <c r="AO681" i="1"/>
  <c r="AN681" i="1"/>
  <c r="AK681" i="1"/>
  <c r="X681" i="1"/>
  <c r="U681" i="1"/>
  <c r="R681" i="1"/>
  <c r="O681" i="1"/>
  <c r="L681" i="1"/>
  <c r="H681" i="1"/>
  <c r="F681" i="1"/>
  <c r="G681" i="1" s="1"/>
  <c r="AO680" i="1"/>
  <c r="AK680" i="1"/>
  <c r="X680" i="1"/>
  <c r="U680" i="1"/>
  <c r="R680" i="1"/>
  <c r="O680" i="1"/>
  <c r="L680" i="1"/>
  <c r="H680" i="1"/>
  <c r="F680" i="1"/>
  <c r="G680" i="1" s="1"/>
  <c r="AO679" i="1"/>
  <c r="AK679" i="1"/>
  <c r="X679" i="1"/>
  <c r="U679" i="1"/>
  <c r="R679" i="1"/>
  <c r="O679" i="1"/>
  <c r="L679" i="1"/>
  <c r="H679" i="1"/>
  <c r="F679" i="1"/>
  <c r="G679" i="1" s="1"/>
  <c r="AO678" i="1"/>
  <c r="AK678" i="1"/>
  <c r="X678" i="1"/>
  <c r="U678" i="1"/>
  <c r="R678" i="1"/>
  <c r="O678" i="1"/>
  <c r="L678" i="1"/>
  <c r="H678" i="1"/>
  <c r="F678" i="1"/>
  <c r="G678" i="1" s="1"/>
  <c r="AO677" i="1"/>
  <c r="AK677" i="1"/>
  <c r="X677" i="1"/>
  <c r="U677" i="1"/>
  <c r="R677" i="1"/>
  <c r="O677" i="1"/>
  <c r="L677" i="1"/>
  <c r="H677" i="1"/>
  <c r="F677" i="1"/>
  <c r="G677" i="1" s="1"/>
  <c r="AO676" i="1"/>
  <c r="AN676" i="1"/>
  <c r="AK676" i="1"/>
  <c r="X676" i="1"/>
  <c r="U676" i="1"/>
  <c r="R676" i="1"/>
  <c r="O676" i="1"/>
  <c r="L676" i="1"/>
  <c r="H676" i="1"/>
  <c r="F676" i="1"/>
  <c r="G676" i="1" s="1"/>
  <c r="AO675" i="1"/>
  <c r="AK675" i="1"/>
  <c r="X675" i="1"/>
  <c r="U675" i="1"/>
  <c r="R675" i="1"/>
  <c r="O675" i="1"/>
  <c r="L675" i="1"/>
  <c r="H675" i="1"/>
  <c r="F675" i="1"/>
  <c r="G675" i="1" s="1"/>
  <c r="AO674" i="1"/>
  <c r="AK674" i="1"/>
  <c r="X674" i="1"/>
  <c r="U674" i="1"/>
  <c r="R674" i="1"/>
  <c r="O674" i="1"/>
  <c r="L674" i="1"/>
  <c r="I674" i="1"/>
  <c r="H674" i="1" s="1"/>
  <c r="F674" i="1"/>
  <c r="G674" i="1" s="1"/>
  <c r="AO673" i="1"/>
  <c r="AK673" i="1"/>
  <c r="X673" i="1"/>
  <c r="U673" i="1"/>
  <c r="R673" i="1"/>
  <c r="O673" i="1"/>
  <c r="L673" i="1"/>
  <c r="H673" i="1"/>
  <c r="F673" i="1"/>
  <c r="G673" i="1" s="1"/>
  <c r="AJ684" i="1" l="1"/>
  <c r="AU684" i="1" s="1"/>
  <c r="AJ679" i="1"/>
  <c r="AU679" i="1" s="1"/>
  <c r="AJ673" i="1"/>
  <c r="AU673" i="1" s="1"/>
  <c r="AJ678" i="1"/>
  <c r="AU678" i="1" s="1"/>
  <c r="AJ687" i="1"/>
  <c r="AU687" i="1" s="1"/>
  <c r="AJ681" i="1"/>
  <c r="AU681" i="1" s="1"/>
  <c r="AJ686" i="1"/>
  <c r="AU686" i="1" s="1"/>
  <c r="AJ677" i="1"/>
  <c r="AU677" i="1" s="1"/>
  <c r="AJ683" i="1"/>
  <c r="AU683" i="1" s="1"/>
  <c r="AJ680" i="1"/>
  <c r="AU680" i="1" s="1"/>
  <c r="AJ685" i="1"/>
  <c r="AU685" i="1" s="1"/>
  <c r="AJ676" i="1"/>
  <c r="AU676" i="1" s="1"/>
  <c r="AJ675" i="1"/>
  <c r="AU675" i="1" s="1"/>
  <c r="AJ674" i="1"/>
  <c r="AU674" i="1" s="1"/>
  <c r="AO672" i="1"/>
  <c r="AN672" i="1"/>
  <c r="AK672" i="1"/>
  <c r="X672" i="1"/>
  <c r="U672" i="1"/>
  <c r="R672" i="1"/>
  <c r="O672" i="1"/>
  <c r="L672" i="1"/>
  <c r="H672" i="1"/>
  <c r="F672" i="1"/>
  <c r="G672" i="1" s="1"/>
  <c r="AO671" i="1"/>
  <c r="AK671" i="1"/>
  <c r="X671" i="1"/>
  <c r="U671" i="1"/>
  <c r="R671" i="1"/>
  <c r="O671" i="1"/>
  <c r="L671" i="1"/>
  <c r="H671" i="1"/>
  <c r="F671" i="1"/>
  <c r="G671" i="1" s="1"/>
  <c r="AO670" i="1"/>
  <c r="AK670" i="1"/>
  <c r="X670" i="1"/>
  <c r="U670" i="1"/>
  <c r="R670" i="1"/>
  <c r="O670" i="1"/>
  <c r="L670" i="1"/>
  <c r="H670" i="1"/>
  <c r="F670" i="1"/>
  <c r="G670" i="1" s="1"/>
  <c r="AO669" i="1"/>
  <c r="AK669" i="1"/>
  <c r="X669" i="1"/>
  <c r="U669" i="1"/>
  <c r="R669" i="1"/>
  <c r="O669" i="1"/>
  <c r="L669" i="1"/>
  <c r="H669" i="1"/>
  <c r="F669" i="1"/>
  <c r="G669" i="1" s="1"/>
  <c r="AO668" i="1"/>
  <c r="AK668" i="1"/>
  <c r="X668" i="1"/>
  <c r="U668" i="1"/>
  <c r="R668" i="1"/>
  <c r="O668" i="1"/>
  <c r="L668" i="1"/>
  <c r="H668" i="1"/>
  <c r="F668" i="1"/>
  <c r="G668" i="1" s="1"/>
  <c r="AJ671" i="1" l="1"/>
  <c r="AU671" i="1" s="1"/>
  <c r="AJ668" i="1"/>
  <c r="AU668" i="1" s="1"/>
  <c r="AJ670" i="1"/>
  <c r="AU670" i="1" s="1"/>
  <c r="AJ672" i="1"/>
  <c r="AU672" i="1" s="1"/>
  <c r="AJ669" i="1"/>
  <c r="AU669" i="1" s="1"/>
  <c r="AO647" i="1"/>
  <c r="AK647" i="1"/>
  <c r="X647" i="1"/>
  <c r="U647" i="1"/>
  <c r="R647" i="1"/>
  <c r="O647" i="1"/>
  <c r="L647" i="1"/>
  <c r="H647" i="1"/>
  <c r="F647" i="1"/>
  <c r="G647" i="1" s="1"/>
  <c r="AO646" i="1"/>
  <c r="AK646" i="1"/>
  <c r="X646" i="1"/>
  <c r="U646" i="1"/>
  <c r="R646" i="1"/>
  <c r="O646" i="1"/>
  <c r="L646" i="1"/>
  <c r="H646" i="1"/>
  <c r="F646" i="1"/>
  <c r="G646" i="1" s="1"/>
  <c r="AO645" i="1"/>
  <c r="AK645" i="1"/>
  <c r="X645" i="1"/>
  <c r="U645" i="1"/>
  <c r="R645" i="1"/>
  <c r="O645" i="1"/>
  <c r="L645" i="1"/>
  <c r="H645" i="1"/>
  <c r="F645" i="1"/>
  <c r="G645" i="1" s="1"/>
  <c r="AO652" i="1"/>
  <c r="AK652" i="1"/>
  <c r="X652" i="1"/>
  <c r="U652" i="1"/>
  <c r="R652" i="1"/>
  <c r="O652" i="1"/>
  <c r="L652" i="1"/>
  <c r="H652" i="1"/>
  <c r="F652" i="1"/>
  <c r="G652" i="1" s="1"/>
  <c r="AO651" i="1"/>
  <c r="AK651" i="1"/>
  <c r="X651" i="1"/>
  <c r="U651" i="1"/>
  <c r="R651" i="1"/>
  <c r="O651" i="1"/>
  <c r="L651" i="1"/>
  <c r="H651" i="1"/>
  <c r="F651" i="1"/>
  <c r="G651" i="1" s="1"/>
  <c r="AO650" i="1"/>
  <c r="AK650" i="1"/>
  <c r="X650" i="1"/>
  <c r="U650" i="1"/>
  <c r="R650" i="1"/>
  <c r="O650" i="1"/>
  <c r="L650" i="1"/>
  <c r="H650" i="1"/>
  <c r="F650" i="1"/>
  <c r="G650" i="1" s="1"/>
  <c r="AO649" i="1"/>
  <c r="AK649" i="1"/>
  <c r="X649" i="1"/>
  <c r="U649" i="1"/>
  <c r="R649" i="1"/>
  <c r="O649" i="1"/>
  <c r="L649" i="1"/>
  <c r="H649" i="1"/>
  <c r="F649" i="1"/>
  <c r="G649" i="1" s="1"/>
  <c r="AO648" i="1"/>
  <c r="AK648" i="1"/>
  <c r="X648" i="1"/>
  <c r="U648" i="1"/>
  <c r="R648" i="1"/>
  <c r="O648" i="1"/>
  <c r="L648" i="1"/>
  <c r="H648" i="1"/>
  <c r="F648" i="1"/>
  <c r="G648" i="1" s="1"/>
  <c r="AO662" i="1"/>
  <c r="AK662" i="1"/>
  <c r="X662" i="1"/>
  <c r="U662" i="1"/>
  <c r="R662" i="1"/>
  <c r="O662" i="1"/>
  <c r="L662" i="1"/>
  <c r="H662" i="1"/>
  <c r="F662" i="1"/>
  <c r="G662" i="1" s="1"/>
  <c r="AO661" i="1"/>
  <c r="AK661" i="1"/>
  <c r="X661" i="1"/>
  <c r="U661" i="1"/>
  <c r="R661" i="1"/>
  <c r="O661" i="1"/>
  <c r="L661" i="1"/>
  <c r="H661" i="1"/>
  <c r="F661" i="1"/>
  <c r="G661" i="1" s="1"/>
  <c r="AO660" i="1"/>
  <c r="AK660" i="1"/>
  <c r="X660" i="1"/>
  <c r="U660" i="1"/>
  <c r="R660" i="1"/>
  <c r="O660" i="1"/>
  <c r="L660" i="1"/>
  <c r="H660" i="1"/>
  <c r="F660" i="1"/>
  <c r="G660" i="1" s="1"/>
  <c r="AO659" i="1"/>
  <c r="AK659" i="1"/>
  <c r="X659" i="1"/>
  <c r="U659" i="1"/>
  <c r="R659" i="1"/>
  <c r="O659" i="1"/>
  <c r="L659" i="1"/>
  <c r="H659" i="1"/>
  <c r="F659" i="1"/>
  <c r="G659" i="1" s="1"/>
  <c r="AO658" i="1"/>
  <c r="AK658" i="1"/>
  <c r="X658" i="1"/>
  <c r="U658" i="1"/>
  <c r="R658" i="1"/>
  <c r="O658" i="1"/>
  <c r="L658" i="1"/>
  <c r="H658" i="1"/>
  <c r="F658" i="1"/>
  <c r="G658" i="1" s="1"/>
  <c r="AO657" i="1"/>
  <c r="AK657" i="1"/>
  <c r="X657" i="1"/>
  <c r="U657" i="1"/>
  <c r="R657" i="1"/>
  <c r="O657" i="1"/>
  <c r="L657" i="1"/>
  <c r="H657" i="1"/>
  <c r="F657" i="1"/>
  <c r="G657" i="1" s="1"/>
  <c r="AO656" i="1"/>
  <c r="AK656" i="1"/>
  <c r="X656" i="1"/>
  <c r="U656" i="1"/>
  <c r="R656" i="1"/>
  <c r="O656" i="1"/>
  <c r="L656" i="1"/>
  <c r="H656" i="1"/>
  <c r="F656" i="1"/>
  <c r="G656" i="1" s="1"/>
  <c r="AO655" i="1"/>
  <c r="AK655" i="1"/>
  <c r="X655" i="1"/>
  <c r="U655" i="1"/>
  <c r="S655" i="1"/>
  <c r="R655" i="1" s="1"/>
  <c r="O655" i="1"/>
  <c r="M655" i="1"/>
  <c r="L655" i="1" s="1"/>
  <c r="H655" i="1"/>
  <c r="F655" i="1"/>
  <c r="G655" i="1" s="1"/>
  <c r="AO654" i="1"/>
  <c r="AK654" i="1"/>
  <c r="X654" i="1"/>
  <c r="U654" i="1"/>
  <c r="R654" i="1"/>
  <c r="O654" i="1"/>
  <c r="L654" i="1"/>
  <c r="H654" i="1"/>
  <c r="F654" i="1"/>
  <c r="G654" i="1" s="1"/>
  <c r="AO653" i="1"/>
  <c r="AK653" i="1"/>
  <c r="X653" i="1"/>
  <c r="U653" i="1"/>
  <c r="R653" i="1"/>
  <c r="O653" i="1"/>
  <c r="L653" i="1"/>
  <c r="H653" i="1"/>
  <c r="F653" i="1"/>
  <c r="G653" i="1" s="1"/>
  <c r="F663" i="1"/>
  <c r="G663" i="1" s="1"/>
  <c r="H663" i="1"/>
  <c r="L663" i="1"/>
  <c r="O663" i="1"/>
  <c r="R663" i="1"/>
  <c r="U663" i="1"/>
  <c r="X663" i="1"/>
  <c r="AK663" i="1"/>
  <c r="AO663" i="1"/>
  <c r="F664" i="1"/>
  <c r="G664" i="1" s="1"/>
  <c r="H664" i="1"/>
  <c r="L664" i="1"/>
  <c r="O664" i="1"/>
  <c r="R664" i="1"/>
  <c r="U664" i="1"/>
  <c r="X664" i="1"/>
  <c r="AK664" i="1"/>
  <c r="AO664" i="1"/>
  <c r="AO667" i="1"/>
  <c r="AK667" i="1"/>
  <c r="X667" i="1"/>
  <c r="U667" i="1"/>
  <c r="R667" i="1"/>
  <c r="O667" i="1"/>
  <c r="L667" i="1"/>
  <c r="H667" i="1"/>
  <c r="F667" i="1"/>
  <c r="G667" i="1" s="1"/>
  <c r="AO666" i="1"/>
  <c r="AK666" i="1"/>
  <c r="X666" i="1"/>
  <c r="U666" i="1"/>
  <c r="R666" i="1"/>
  <c r="O666" i="1"/>
  <c r="L666" i="1"/>
  <c r="H666" i="1"/>
  <c r="F666" i="1"/>
  <c r="G666" i="1" s="1"/>
  <c r="AO665" i="1"/>
  <c r="AK665" i="1"/>
  <c r="X665" i="1"/>
  <c r="U665" i="1"/>
  <c r="R665" i="1"/>
  <c r="O665" i="1"/>
  <c r="L665" i="1"/>
  <c r="H665" i="1"/>
  <c r="F665" i="1"/>
  <c r="G665" i="1" s="1"/>
  <c r="AJ645" i="1" l="1"/>
  <c r="AJ652" i="1"/>
  <c r="AJ649" i="1"/>
  <c r="AJ666" i="1"/>
  <c r="AU666" i="1" s="1"/>
  <c r="AJ651" i="1"/>
  <c r="AJ654" i="1"/>
  <c r="AJ665" i="1"/>
  <c r="AU665" i="1" s="1"/>
  <c r="AJ648" i="1"/>
  <c r="AJ653" i="1"/>
  <c r="AJ662" i="1"/>
  <c r="AJ650" i="1"/>
  <c r="AJ661" i="1"/>
  <c r="AJ647" i="1"/>
  <c r="AJ655" i="1"/>
  <c r="AJ657" i="1"/>
  <c r="AJ667" i="1"/>
  <c r="AU667" i="1" s="1"/>
  <c r="AJ660" i="1"/>
  <c r="AJ646" i="1"/>
  <c r="AJ663" i="1"/>
  <c r="AU663" i="1" s="1"/>
  <c r="AJ656" i="1"/>
  <c r="AJ659" i="1"/>
  <c r="AJ658" i="1"/>
  <c r="AX663" i="1"/>
  <c r="AX664" i="1"/>
  <c r="AX665" i="1"/>
  <c r="AX666" i="1"/>
  <c r="AX667" i="1"/>
  <c r="AU664" i="1"/>
  <c r="AX658" i="1" l="1"/>
  <c r="AX659" i="1"/>
  <c r="AX660" i="1"/>
  <c r="AX661" i="1"/>
  <c r="AX662" i="1"/>
  <c r="AU658" i="1" l="1"/>
  <c r="AU659" i="1"/>
  <c r="AU662" i="1"/>
  <c r="AU661" i="1"/>
  <c r="AU660" i="1"/>
  <c r="AX653" i="1"/>
  <c r="AX654" i="1"/>
  <c r="AX655" i="1"/>
  <c r="AX656" i="1"/>
  <c r="AX657" i="1"/>
  <c r="AU657" i="1" l="1"/>
  <c r="AU656" i="1"/>
  <c r="AU653" i="1"/>
  <c r="AU655" i="1"/>
  <c r="AU654" i="1"/>
  <c r="AX652" i="1"/>
  <c r="AX651" i="1"/>
  <c r="AX650" i="1"/>
  <c r="AX649" i="1"/>
  <c r="AX648" i="1"/>
  <c r="AU651" i="1" l="1"/>
  <c r="AU648" i="1"/>
  <c r="AU650" i="1"/>
  <c r="AU649" i="1"/>
  <c r="AU652" i="1"/>
  <c r="AO632" i="1"/>
  <c r="AK632" i="1"/>
  <c r="X632" i="1"/>
  <c r="U632" i="1"/>
  <c r="R632" i="1"/>
  <c r="O632" i="1"/>
  <c r="L632" i="1"/>
  <c r="H632" i="1"/>
  <c r="F632" i="1"/>
  <c r="G632" i="1" s="1"/>
  <c r="AO631" i="1"/>
  <c r="AK631" i="1"/>
  <c r="X631" i="1"/>
  <c r="U631" i="1"/>
  <c r="R631" i="1"/>
  <c r="O631" i="1"/>
  <c r="L631" i="1"/>
  <c r="H631" i="1"/>
  <c r="F631" i="1"/>
  <c r="G631" i="1" s="1"/>
  <c r="AO630" i="1"/>
  <c r="AK630" i="1"/>
  <c r="X630" i="1"/>
  <c r="U630" i="1"/>
  <c r="R630" i="1"/>
  <c r="O630" i="1"/>
  <c r="L630" i="1"/>
  <c r="H630" i="1"/>
  <c r="F630" i="1"/>
  <c r="G630" i="1" s="1"/>
  <c r="AO629" i="1"/>
  <c r="AK629" i="1"/>
  <c r="X629" i="1"/>
  <c r="U629" i="1"/>
  <c r="R629" i="1"/>
  <c r="O629" i="1"/>
  <c r="L629" i="1"/>
  <c r="H629" i="1"/>
  <c r="F629" i="1"/>
  <c r="G629" i="1" s="1"/>
  <c r="AO637" i="1"/>
  <c r="AN637" i="1"/>
  <c r="AK637" i="1"/>
  <c r="X637" i="1"/>
  <c r="U637" i="1"/>
  <c r="R637" i="1"/>
  <c r="O637" i="1"/>
  <c r="L637" i="1"/>
  <c r="H637" i="1"/>
  <c r="F637" i="1"/>
  <c r="G637" i="1" s="1"/>
  <c r="AO636" i="1"/>
  <c r="AN636" i="1"/>
  <c r="AK636" i="1"/>
  <c r="X636" i="1"/>
  <c r="U636" i="1"/>
  <c r="R636" i="1"/>
  <c r="O636" i="1"/>
  <c r="L636" i="1"/>
  <c r="H636" i="1"/>
  <c r="F636" i="1"/>
  <c r="G636" i="1" s="1"/>
  <c r="AO635" i="1"/>
  <c r="AN635" i="1"/>
  <c r="AK635" i="1"/>
  <c r="X635" i="1"/>
  <c r="U635" i="1"/>
  <c r="R635" i="1"/>
  <c r="O635" i="1"/>
  <c r="L635" i="1"/>
  <c r="H635" i="1"/>
  <c r="F635" i="1"/>
  <c r="G635" i="1" s="1"/>
  <c r="AO634" i="1"/>
  <c r="AN634" i="1"/>
  <c r="AK634" i="1"/>
  <c r="X634" i="1"/>
  <c r="U634" i="1"/>
  <c r="R634" i="1"/>
  <c r="O634" i="1"/>
  <c r="L634" i="1"/>
  <c r="H634" i="1"/>
  <c r="F634" i="1"/>
  <c r="G634" i="1" s="1"/>
  <c r="AO633" i="1"/>
  <c r="AK633" i="1"/>
  <c r="X633" i="1"/>
  <c r="U633" i="1"/>
  <c r="R633" i="1"/>
  <c r="O633" i="1"/>
  <c r="L633" i="1"/>
  <c r="H633" i="1"/>
  <c r="F633" i="1"/>
  <c r="G633" i="1" s="1"/>
  <c r="AO642" i="1"/>
  <c r="AK642" i="1"/>
  <c r="X642" i="1"/>
  <c r="U642" i="1"/>
  <c r="R642" i="1"/>
  <c r="O642" i="1"/>
  <c r="L642" i="1"/>
  <c r="H642" i="1"/>
  <c r="F642" i="1"/>
  <c r="G642" i="1" s="1"/>
  <c r="AO641" i="1"/>
  <c r="AK641" i="1"/>
  <c r="X641" i="1"/>
  <c r="U641" i="1"/>
  <c r="R641" i="1"/>
  <c r="O641" i="1"/>
  <c r="L641" i="1"/>
  <c r="H641" i="1"/>
  <c r="F641" i="1"/>
  <c r="G641" i="1" s="1"/>
  <c r="AO640" i="1"/>
  <c r="AN640" i="1"/>
  <c r="AK640" i="1"/>
  <c r="X640" i="1"/>
  <c r="U640" i="1"/>
  <c r="R640" i="1"/>
  <c r="O640" i="1"/>
  <c r="L640" i="1"/>
  <c r="H640" i="1"/>
  <c r="F640" i="1"/>
  <c r="AO639" i="1"/>
  <c r="AN639" i="1"/>
  <c r="AK639" i="1"/>
  <c r="X639" i="1"/>
  <c r="U639" i="1"/>
  <c r="R639" i="1"/>
  <c r="O639" i="1"/>
  <c r="L639" i="1"/>
  <c r="H639" i="1"/>
  <c r="F639" i="1"/>
  <c r="G639" i="1" s="1"/>
  <c r="AO638" i="1"/>
  <c r="AN638" i="1"/>
  <c r="AK638" i="1"/>
  <c r="X638" i="1"/>
  <c r="U638" i="1"/>
  <c r="R638" i="1"/>
  <c r="O638" i="1"/>
  <c r="L638" i="1"/>
  <c r="H638" i="1"/>
  <c r="F638" i="1"/>
  <c r="G638" i="1" s="1"/>
  <c r="AX645" i="1"/>
  <c r="AX646" i="1"/>
  <c r="AX647" i="1"/>
  <c r="AO644" i="1"/>
  <c r="AK644" i="1"/>
  <c r="X644" i="1"/>
  <c r="U644" i="1"/>
  <c r="R644" i="1"/>
  <c r="O644" i="1"/>
  <c r="L644" i="1"/>
  <c r="H644" i="1"/>
  <c r="F644" i="1"/>
  <c r="G644" i="1" s="1"/>
  <c r="AO643" i="1"/>
  <c r="AK643" i="1"/>
  <c r="X643" i="1"/>
  <c r="U643" i="1"/>
  <c r="R643" i="1"/>
  <c r="O643" i="1"/>
  <c r="L643" i="1"/>
  <c r="H643" i="1"/>
  <c r="F643" i="1"/>
  <c r="G643" i="1" s="1"/>
  <c r="AJ644" i="1" l="1"/>
  <c r="AJ635" i="1"/>
  <c r="AJ631" i="1"/>
  <c r="AJ633" i="1"/>
  <c r="AJ643" i="1"/>
  <c r="AU647" i="1"/>
  <c r="AJ637" i="1"/>
  <c r="AJ642" i="1"/>
  <c r="AU642" i="1" s="1"/>
  <c r="AJ639" i="1"/>
  <c r="AJ638" i="1"/>
  <c r="AJ632" i="1"/>
  <c r="AJ630" i="1"/>
  <c r="AJ629" i="1"/>
  <c r="AU646" i="1"/>
  <c r="AJ641" i="1"/>
  <c r="AU641" i="1" s="1"/>
  <c r="AJ636" i="1"/>
  <c r="AU645" i="1"/>
  <c r="AJ640" i="1"/>
  <c r="AJ634" i="1"/>
  <c r="AX638" i="1"/>
  <c r="AX639" i="1"/>
  <c r="AX640" i="1"/>
  <c r="AX641" i="1"/>
  <c r="AX642" i="1"/>
  <c r="AX643" i="1"/>
  <c r="AX644" i="1"/>
  <c r="AU639" i="1" l="1"/>
  <c r="AU640" i="1"/>
  <c r="AU638" i="1"/>
  <c r="AU644" i="1"/>
  <c r="AU643" i="1"/>
  <c r="AX633" i="1"/>
  <c r="AX634" i="1"/>
  <c r="AX635" i="1"/>
  <c r="AX636" i="1"/>
  <c r="AX637" i="1"/>
  <c r="AU636" i="1"/>
  <c r="AU635" i="1"/>
  <c r="AU634" i="1" l="1"/>
  <c r="AU633" i="1"/>
  <c r="AU63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P628" i="1" l="1"/>
  <c r="AO628" i="1"/>
  <c r="X628" i="1"/>
  <c r="U628" i="1"/>
  <c r="R628" i="1"/>
  <c r="O628" i="1"/>
  <c r="L628" i="1"/>
  <c r="H628" i="1"/>
  <c r="F628" i="1"/>
  <c r="G628" i="1" s="1"/>
  <c r="AO627" i="1"/>
  <c r="AN627" i="1"/>
  <c r="X627" i="1"/>
  <c r="U627" i="1"/>
  <c r="R627" i="1"/>
  <c r="O627" i="1"/>
  <c r="L627" i="1"/>
  <c r="H627" i="1"/>
  <c r="F627" i="1"/>
  <c r="G627" i="1" s="1"/>
  <c r="AO626" i="1"/>
  <c r="AN626" i="1"/>
  <c r="AK626" i="1"/>
  <c r="X626" i="1"/>
  <c r="U626" i="1"/>
  <c r="R626" i="1"/>
  <c r="P626" i="1"/>
  <c r="O626" i="1" s="1"/>
  <c r="L626" i="1"/>
  <c r="H626" i="1"/>
  <c r="F626" i="1"/>
  <c r="G626" i="1" s="1"/>
  <c r="AO625" i="1"/>
  <c r="AN625" i="1"/>
  <c r="AK625" i="1"/>
  <c r="X625" i="1"/>
  <c r="U625" i="1"/>
  <c r="R625" i="1"/>
  <c r="O625" i="1"/>
  <c r="L625" i="1"/>
  <c r="H625" i="1"/>
  <c r="F625" i="1"/>
  <c r="G625" i="1" s="1"/>
  <c r="AO624" i="1"/>
  <c r="AN624" i="1"/>
  <c r="AK624" i="1"/>
  <c r="X624" i="1"/>
  <c r="U624" i="1"/>
  <c r="R624" i="1"/>
  <c r="O624" i="1"/>
  <c r="L624" i="1"/>
  <c r="H624" i="1"/>
  <c r="F624" i="1"/>
  <c r="G624" i="1" s="1"/>
  <c r="AO623" i="1"/>
  <c r="AN623" i="1"/>
  <c r="AK623" i="1"/>
  <c r="X623" i="1"/>
  <c r="U623" i="1"/>
  <c r="R623" i="1"/>
  <c r="O623" i="1"/>
  <c r="L623" i="1"/>
  <c r="H623" i="1"/>
  <c r="F623" i="1"/>
  <c r="G623" i="1" s="1"/>
  <c r="AO622" i="1"/>
  <c r="AN622" i="1"/>
  <c r="AK622" i="1"/>
  <c r="X622" i="1"/>
  <c r="U622" i="1"/>
  <c r="R622" i="1"/>
  <c r="O622" i="1"/>
  <c r="L622" i="1"/>
  <c r="H622" i="1"/>
  <c r="F622" i="1"/>
  <c r="G622" i="1" s="1"/>
  <c r="AO621" i="1"/>
  <c r="AN621" i="1"/>
  <c r="AK621" i="1"/>
  <c r="X621" i="1"/>
  <c r="U621" i="1"/>
  <c r="R621" i="1"/>
  <c r="O621" i="1"/>
  <c r="L621" i="1"/>
  <c r="H621" i="1"/>
  <c r="F621" i="1"/>
  <c r="G621" i="1" s="1"/>
  <c r="AO620" i="1"/>
  <c r="AN620" i="1"/>
  <c r="AK620" i="1"/>
  <c r="X620" i="1"/>
  <c r="U620" i="1"/>
  <c r="R620" i="1"/>
  <c r="O620" i="1"/>
  <c r="L620" i="1"/>
  <c r="H620" i="1"/>
  <c r="F620" i="1"/>
  <c r="G620" i="1" s="1"/>
  <c r="AO619" i="1"/>
  <c r="AN619" i="1"/>
  <c r="AK619" i="1"/>
  <c r="X619" i="1"/>
  <c r="U619" i="1"/>
  <c r="R619" i="1"/>
  <c r="O619" i="1"/>
  <c r="L619" i="1"/>
  <c r="H619" i="1"/>
  <c r="F619" i="1"/>
  <c r="G619" i="1" s="1"/>
  <c r="AO618" i="1"/>
  <c r="AN618" i="1"/>
  <c r="AK618" i="1"/>
  <c r="X618" i="1"/>
  <c r="U618" i="1"/>
  <c r="R618" i="1"/>
  <c r="O618" i="1"/>
  <c r="L618" i="1"/>
  <c r="H618" i="1"/>
  <c r="F618" i="1"/>
  <c r="G618" i="1" s="1"/>
  <c r="AO617" i="1"/>
  <c r="AN617" i="1"/>
  <c r="AK617" i="1"/>
  <c r="X617" i="1"/>
  <c r="U617" i="1"/>
  <c r="R617" i="1"/>
  <c r="O617" i="1"/>
  <c r="L617" i="1"/>
  <c r="H617" i="1"/>
  <c r="F617" i="1"/>
  <c r="G617" i="1" s="1"/>
  <c r="AO616" i="1"/>
  <c r="AN616" i="1"/>
  <c r="AK616" i="1"/>
  <c r="X616" i="1"/>
  <c r="U616" i="1"/>
  <c r="R616" i="1"/>
  <c r="O616" i="1"/>
  <c r="L616" i="1"/>
  <c r="I616" i="1"/>
  <c r="H616" i="1" s="1"/>
  <c r="F616" i="1"/>
  <c r="G616" i="1" s="1"/>
  <c r="AO615" i="1"/>
  <c r="AN615" i="1"/>
  <c r="AK615" i="1"/>
  <c r="AJ615" i="1"/>
  <c r="X615" i="1"/>
  <c r="U615" i="1"/>
  <c r="R615" i="1"/>
  <c r="O615" i="1"/>
  <c r="L615" i="1"/>
  <c r="H615" i="1"/>
  <c r="F615" i="1"/>
  <c r="G615" i="1" s="1"/>
  <c r="AO614" i="1"/>
  <c r="AN614" i="1"/>
  <c r="AK614" i="1"/>
  <c r="X614" i="1"/>
  <c r="U614" i="1"/>
  <c r="R614" i="1"/>
  <c r="O614" i="1"/>
  <c r="L614" i="1"/>
  <c r="H614" i="1"/>
  <c r="F614" i="1"/>
  <c r="G614" i="1" s="1"/>
  <c r="AO613" i="1"/>
  <c r="AN613" i="1"/>
  <c r="AK613" i="1"/>
  <c r="X613" i="1"/>
  <c r="U613" i="1"/>
  <c r="R613" i="1"/>
  <c r="O613" i="1"/>
  <c r="L613" i="1"/>
  <c r="H613" i="1"/>
  <c r="F613" i="1"/>
  <c r="G613" i="1" s="1"/>
  <c r="AO612" i="1"/>
  <c r="AN612" i="1"/>
  <c r="AK612" i="1"/>
  <c r="U612" i="1"/>
  <c r="R612" i="1"/>
  <c r="O612" i="1"/>
  <c r="L612" i="1"/>
  <c r="I612" i="1"/>
  <c r="H612" i="1" s="1"/>
  <c r="F612" i="1"/>
  <c r="G612" i="1" s="1"/>
  <c r="AO611" i="1"/>
  <c r="AN611" i="1"/>
  <c r="AK611" i="1"/>
  <c r="U611" i="1"/>
  <c r="R611" i="1"/>
  <c r="O611" i="1"/>
  <c r="L611" i="1"/>
  <c r="H611" i="1"/>
  <c r="F611" i="1"/>
  <c r="G611" i="1" s="1"/>
  <c r="AO610" i="1"/>
  <c r="AN610" i="1"/>
  <c r="AK610" i="1"/>
  <c r="U610" i="1"/>
  <c r="R610" i="1"/>
  <c r="O610" i="1"/>
  <c r="L610" i="1"/>
  <c r="H610" i="1"/>
  <c r="F610" i="1"/>
  <c r="G610" i="1" s="1"/>
  <c r="AJ628" i="1" l="1"/>
  <c r="AU628" i="1" s="1"/>
  <c r="AJ622" i="1"/>
  <c r="AJ612" i="1"/>
  <c r="AJ627" i="1"/>
  <c r="AJ614" i="1"/>
  <c r="AJ613" i="1"/>
  <c r="AJ619" i="1"/>
  <c r="AJ625" i="1"/>
  <c r="AJ617" i="1"/>
  <c r="AJ616" i="1"/>
  <c r="AJ626" i="1"/>
  <c r="AJ610" i="1"/>
  <c r="AJ611" i="1"/>
  <c r="AJ618" i="1"/>
  <c r="AJ624" i="1"/>
  <c r="AJ623" i="1"/>
  <c r="AJ621" i="1"/>
  <c r="AJ620" i="1"/>
  <c r="AU620" i="1" s="1"/>
  <c r="AU624" i="1" l="1"/>
  <c r="AU619" i="1"/>
  <c r="AU631" i="1"/>
  <c r="AU632" i="1"/>
  <c r="AU618" i="1"/>
  <c r="AU626" i="1"/>
  <c r="AU627" i="1"/>
  <c r="AU630" i="1"/>
  <c r="AU623" i="1"/>
  <c r="AU622" i="1"/>
  <c r="AU625" i="1"/>
  <c r="AU621" i="1"/>
  <c r="AU629" i="1"/>
  <c r="AX617" i="1"/>
  <c r="AX616" i="1"/>
  <c r="AX615" i="1"/>
  <c r="AX614" i="1"/>
  <c r="AX613" i="1"/>
  <c r="AU617" i="1"/>
  <c r="AU616" i="1"/>
  <c r="AU615" i="1"/>
  <c r="AU614" i="1"/>
  <c r="AU613" i="1"/>
  <c r="AX612" i="1" l="1"/>
  <c r="AX611" i="1"/>
  <c r="AX610" i="1"/>
  <c r="AO588" i="1"/>
  <c r="AN588" i="1"/>
  <c r="AK588" i="1"/>
  <c r="U588" i="1"/>
  <c r="R588" i="1"/>
  <c r="O588" i="1"/>
  <c r="L588" i="1"/>
  <c r="H588" i="1"/>
  <c r="F588" i="1"/>
  <c r="G588" i="1" s="1"/>
  <c r="AN587" i="1"/>
  <c r="AM587" i="1"/>
  <c r="AO587" i="1" s="1"/>
  <c r="AK587" i="1"/>
  <c r="U587" i="1"/>
  <c r="R587" i="1"/>
  <c r="O587" i="1"/>
  <c r="L587" i="1"/>
  <c r="H587" i="1"/>
  <c r="F587" i="1"/>
  <c r="G587" i="1" s="1"/>
  <c r="AO593" i="1"/>
  <c r="AN593" i="1"/>
  <c r="AK593" i="1"/>
  <c r="U593" i="1"/>
  <c r="R593" i="1"/>
  <c r="O593" i="1"/>
  <c r="L593" i="1"/>
  <c r="H593" i="1"/>
  <c r="F593" i="1"/>
  <c r="G593" i="1" s="1"/>
  <c r="AO592" i="1"/>
  <c r="AN592" i="1"/>
  <c r="AK592" i="1"/>
  <c r="U592" i="1"/>
  <c r="R592" i="1"/>
  <c r="O592" i="1"/>
  <c r="L592" i="1"/>
  <c r="H592" i="1"/>
  <c r="F592" i="1"/>
  <c r="G592" i="1" s="1"/>
  <c r="AO591" i="1"/>
  <c r="AN591" i="1"/>
  <c r="AK591" i="1"/>
  <c r="U591" i="1"/>
  <c r="R591" i="1"/>
  <c r="O591" i="1"/>
  <c r="L591" i="1"/>
  <c r="H591" i="1"/>
  <c r="F591" i="1"/>
  <c r="G591" i="1" s="1"/>
  <c r="AO590" i="1"/>
  <c r="AN590" i="1"/>
  <c r="AK590" i="1"/>
  <c r="U590" i="1"/>
  <c r="R590" i="1"/>
  <c r="O590" i="1"/>
  <c r="L590" i="1"/>
  <c r="H590" i="1"/>
  <c r="F590" i="1"/>
  <c r="G590" i="1" s="1"/>
  <c r="AO589" i="1"/>
  <c r="AN589" i="1"/>
  <c r="AK589" i="1"/>
  <c r="U589" i="1"/>
  <c r="R589" i="1"/>
  <c r="O589" i="1"/>
  <c r="L589" i="1"/>
  <c r="H589" i="1"/>
  <c r="F589" i="1"/>
  <c r="G589" i="1" s="1"/>
  <c r="AO598" i="1"/>
  <c r="AK598" i="1"/>
  <c r="U598" i="1"/>
  <c r="R598" i="1"/>
  <c r="O598" i="1"/>
  <c r="L598" i="1"/>
  <c r="H598" i="1"/>
  <c r="F598" i="1"/>
  <c r="G598" i="1" s="1"/>
  <c r="AO597" i="1"/>
  <c r="AN597" i="1"/>
  <c r="AK597" i="1"/>
  <c r="U597" i="1"/>
  <c r="R597" i="1"/>
  <c r="O597" i="1"/>
  <c r="L597" i="1"/>
  <c r="H597" i="1"/>
  <c r="F597" i="1"/>
  <c r="G597" i="1" s="1"/>
  <c r="AO596" i="1"/>
  <c r="AN596" i="1"/>
  <c r="AK596" i="1"/>
  <c r="U596" i="1"/>
  <c r="R596" i="1"/>
  <c r="O596" i="1"/>
  <c r="L596" i="1"/>
  <c r="H596" i="1"/>
  <c r="F596" i="1"/>
  <c r="G596" i="1" s="1"/>
  <c r="AO595" i="1"/>
  <c r="AN595" i="1"/>
  <c r="AK595" i="1"/>
  <c r="U595" i="1"/>
  <c r="R595" i="1"/>
  <c r="O595" i="1"/>
  <c r="L595" i="1"/>
  <c r="H595" i="1"/>
  <c r="F595" i="1"/>
  <c r="G595" i="1" s="1"/>
  <c r="AO594" i="1"/>
  <c r="AN594" i="1"/>
  <c r="AK594" i="1"/>
  <c r="U594" i="1"/>
  <c r="R594" i="1"/>
  <c r="O594" i="1"/>
  <c r="L594" i="1"/>
  <c r="H594" i="1"/>
  <c r="F594" i="1"/>
  <c r="G594" i="1" s="1"/>
  <c r="AO603" i="1"/>
  <c r="AN603" i="1"/>
  <c r="AK603" i="1"/>
  <c r="U603" i="1"/>
  <c r="R603" i="1"/>
  <c r="O603" i="1"/>
  <c r="L603" i="1"/>
  <c r="H603" i="1"/>
  <c r="F603" i="1"/>
  <c r="G603" i="1" s="1"/>
  <c r="AO602" i="1"/>
  <c r="AN602" i="1"/>
  <c r="AK602" i="1"/>
  <c r="U602" i="1"/>
  <c r="R602" i="1"/>
  <c r="O602" i="1"/>
  <c r="L602" i="1"/>
  <c r="H602" i="1"/>
  <c r="F602" i="1"/>
  <c r="G602" i="1" s="1"/>
  <c r="AO601" i="1"/>
  <c r="AN601" i="1"/>
  <c r="AK601" i="1"/>
  <c r="U601" i="1"/>
  <c r="R601" i="1"/>
  <c r="O601" i="1"/>
  <c r="L601" i="1"/>
  <c r="H601" i="1"/>
  <c r="F601" i="1"/>
  <c r="AO600" i="1"/>
  <c r="AN600" i="1"/>
  <c r="AK600" i="1"/>
  <c r="U600" i="1"/>
  <c r="R600" i="1"/>
  <c r="O600" i="1"/>
  <c r="L600" i="1"/>
  <c r="H600" i="1"/>
  <c r="F600" i="1"/>
  <c r="G600" i="1" s="1"/>
  <c r="AO599" i="1"/>
  <c r="U599" i="1"/>
  <c r="R599" i="1"/>
  <c r="O599" i="1"/>
  <c r="L599" i="1"/>
  <c r="H599" i="1"/>
  <c r="F599" i="1"/>
  <c r="G599" i="1" s="1"/>
  <c r="AO609" i="1"/>
  <c r="AN609" i="1"/>
  <c r="AK609" i="1"/>
  <c r="U609" i="1"/>
  <c r="R609" i="1"/>
  <c r="O609" i="1"/>
  <c r="L609" i="1"/>
  <c r="H609" i="1"/>
  <c r="F609" i="1"/>
  <c r="G609" i="1" s="1"/>
  <c r="AO608" i="1"/>
  <c r="AN608" i="1"/>
  <c r="AK608" i="1"/>
  <c r="U608" i="1"/>
  <c r="R608" i="1"/>
  <c r="O608" i="1"/>
  <c r="L608" i="1"/>
  <c r="H608" i="1"/>
  <c r="F608" i="1"/>
  <c r="G608" i="1" s="1"/>
  <c r="AO607" i="1"/>
  <c r="AN607" i="1"/>
  <c r="AK607" i="1"/>
  <c r="U607" i="1"/>
  <c r="R607" i="1"/>
  <c r="O607" i="1"/>
  <c r="L607" i="1"/>
  <c r="H607" i="1"/>
  <c r="F607" i="1"/>
  <c r="G607" i="1" s="1"/>
  <c r="AO606" i="1"/>
  <c r="AN606" i="1"/>
  <c r="AK606" i="1"/>
  <c r="U606" i="1"/>
  <c r="R606" i="1"/>
  <c r="O606" i="1"/>
  <c r="L606" i="1"/>
  <c r="H606" i="1"/>
  <c r="F606" i="1"/>
  <c r="G606" i="1" s="1"/>
  <c r="AO605" i="1"/>
  <c r="AN605" i="1"/>
  <c r="AK605" i="1"/>
  <c r="U605" i="1"/>
  <c r="R605" i="1"/>
  <c r="O605" i="1"/>
  <c r="L605" i="1"/>
  <c r="H605" i="1"/>
  <c r="F605" i="1"/>
  <c r="G605" i="1" s="1"/>
  <c r="AO604" i="1"/>
  <c r="AN604" i="1"/>
  <c r="AK604" i="1"/>
  <c r="U604" i="1"/>
  <c r="R604" i="1"/>
  <c r="O604" i="1"/>
  <c r="L604" i="1"/>
  <c r="H604" i="1"/>
  <c r="F604" i="1"/>
  <c r="G604" i="1" s="1"/>
  <c r="AJ588" i="1" l="1"/>
  <c r="AJ597" i="1"/>
  <c r="AJ609" i="1"/>
  <c r="AJ591" i="1"/>
  <c r="AJ606" i="1"/>
  <c r="AJ590" i="1"/>
  <c r="AJ587" i="1"/>
  <c r="AJ595" i="1"/>
  <c r="AJ592" i="1"/>
  <c r="AJ603" i="1"/>
  <c r="AJ594" i="1"/>
  <c r="AJ598" i="1"/>
  <c r="AU612" i="1"/>
  <c r="AJ599" i="1"/>
  <c r="AJ602" i="1"/>
  <c r="AU611" i="1"/>
  <c r="AU610" i="1"/>
  <c r="AJ601" i="1"/>
  <c r="AJ589" i="1"/>
  <c r="AJ608" i="1"/>
  <c r="AJ600" i="1"/>
  <c r="AJ605" i="1"/>
  <c r="AJ593" i="1"/>
  <c r="AJ604" i="1"/>
  <c r="AJ607" i="1"/>
  <c r="AX604" i="1"/>
  <c r="AX605" i="1"/>
  <c r="AX606" i="1"/>
  <c r="AX607" i="1"/>
  <c r="AX608" i="1"/>
  <c r="AX609" i="1"/>
  <c r="AX599" i="1" l="1"/>
  <c r="AX600" i="1"/>
  <c r="AX601" i="1"/>
  <c r="AX602" i="1"/>
  <c r="AX603" i="1"/>
  <c r="AX594" i="1" l="1"/>
  <c r="AX595" i="1"/>
  <c r="AX596" i="1"/>
  <c r="AX597" i="1"/>
  <c r="AX598" i="1"/>
  <c r="AX589" i="1" l="1"/>
  <c r="AX590" i="1"/>
  <c r="AX591" i="1"/>
  <c r="AX592" i="1"/>
  <c r="AX593" i="1"/>
  <c r="AP585" i="1" l="1"/>
  <c r="AO568" i="1" l="1"/>
  <c r="AN568" i="1"/>
  <c r="AK568" i="1"/>
  <c r="U568" i="1"/>
  <c r="R568" i="1"/>
  <c r="O568" i="1"/>
  <c r="L568" i="1"/>
  <c r="H568" i="1"/>
  <c r="F568" i="1"/>
  <c r="G568" i="1" s="1"/>
  <c r="AO567" i="1"/>
  <c r="AN567" i="1"/>
  <c r="AK567" i="1"/>
  <c r="U567" i="1"/>
  <c r="R567" i="1"/>
  <c r="O567" i="1"/>
  <c r="L567" i="1"/>
  <c r="H567" i="1"/>
  <c r="F567" i="1"/>
  <c r="G567" i="1" s="1"/>
  <c r="AO566" i="1"/>
  <c r="AN566" i="1"/>
  <c r="AK566" i="1"/>
  <c r="U566" i="1"/>
  <c r="R566" i="1"/>
  <c r="O566" i="1"/>
  <c r="L566" i="1"/>
  <c r="H566" i="1"/>
  <c r="F566" i="1"/>
  <c r="G566" i="1" s="1"/>
  <c r="AO565" i="1"/>
  <c r="AN565" i="1"/>
  <c r="AK565" i="1"/>
  <c r="U565" i="1"/>
  <c r="R565" i="1"/>
  <c r="O565" i="1"/>
  <c r="L565" i="1"/>
  <c r="H565" i="1"/>
  <c r="F565" i="1"/>
  <c r="G565" i="1" s="1"/>
  <c r="AO573" i="1"/>
  <c r="AN573" i="1"/>
  <c r="AK573" i="1"/>
  <c r="U573" i="1"/>
  <c r="R573" i="1"/>
  <c r="O573" i="1"/>
  <c r="L573" i="1"/>
  <c r="H573" i="1"/>
  <c r="F573" i="1"/>
  <c r="G573" i="1" s="1"/>
  <c r="AO572" i="1"/>
  <c r="AN572" i="1"/>
  <c r="AK572" i="1"/>
  <c r="U572" i="1"/>
  <c r="R572" i="1"/>
  <c r="O572" i="1"/>
  <c r="L572" i="1"/>
  <c r="H572" i="1"/>
  <c r="F572" i="1"/>
  <c r="G572" i="1" s="1"/>
  <c r="AO571" i="1"/>
  <c r="AN571" i="1"/>
  <c r="AK571" i="1"/>
  <c r="U571" i="1"/>
  <c r="R571" i="1"/>
  <c r="O571" i="1"/>
  <c r="L571" i="1"/>
  <c r="H571" i="1"/>
  <c r="F571" i="1"/>
  <c r="G571" i="1" s="1"/>
  <c r="AO570" i="1"/>
  <c r="AN570" i="1"/>
  <c r="AK570" i="1"/>
  <c r="U570" i="1"/>
  <c r="R570" i="1"/>
  <c r="O570" i="1"/>
  <c r="L570" i="1"/>
  <c r="H570" i="1"/>
  <c r="F570" i="1"/>
  <c r="G570" i="1" s="1"/>
  <c r="AO569" i="1"/>
  <c r="AN569" i="1"/>
  <c r="AK569" i="1"/>
  <c r="U569" i="1"/>
  <c r="R569" i="1"/>
  <c r="O569" i="1"/>
  <c r="L569" i="1"/>
  <c r="H569" i="1"/>
  <c r="F569" i="1"/>
  <c r="G569" i="1" s="1"/>
  <c r="AO578" i="1"/>
  <c r="AK578" i="1"/>
  <c r="U578" i="1"/>
  <c r="R578" i="1"/>
  <c r="O578" i="1"/>
  <c r="L578" i="1"/>
  <c r="H578" i="1"/>
  <c r="F578" i="1"/>
  <c r="G578" i="1" s="1"/>
  <c r="AO577" i="1"/>
  <c r="AN577" i="1"/>
  <c r="AK577" i="1"/>
  <c r="U577" i="1"/>
  <c r="R577" i="1"/>
  <c r="O577" i="1"/>
  <c r="L577" i="1"/>
  <c r="H577" i="1"/>
  <c r="F577" i="1"/>
  <c r="G577" i="1" s="1"/>
  <c r="AO576" i="1"/>
  <c r="AN576" i="1"/>
  <c r="AK576" i="1"/>
  <c r="U576" i="1"/>
  <c r="R576" i="1"/>
  <c r="O576" i="1"/>
  <c r="L576" i="1"/>
  <c r="H576" i="1"/>
  <c r="F576" i="1"/>
  <c r="G576" i="1" s="1"/>
  <c r="AO575" i="1"/>
  <c r="AN575" i="1"/>
  <c r="AK575" i="1"/>
  <c r="U575" i="1"/>
  <c r="R575" i="1"/>
  <c r="O575" i="1"/>
  <c r="L575" i="1"/>
  <c r="H575" i="1"/>
  <c r="F575" i="1"/>
  <c r="G575" i="1" s="1"/>
  <c r="AO574" i="1"/>
  <c r="AN574" i="1"/>
  <c r="AK574" i="1"/>
  <c r="U574" i="1"/>
  <c r="R574" i="1"/>
  <c r="O574" i="1"/>
  <c r="L574" i="1"/>
  <c r="H574" i="1"/>
  <c r="F574" i="1"/>
  <c r="G574" i="1" s="1"/>
  <c r="AN583" i="1"/>
  <c r="AM583" i="1"/>
  <c r="AO583" i="1" s="1"/>
  <c r="AK583" i="1"/>
  <c r="U583" i="1"/>
  <c r="R583" i="1"/>
  <c r="O583" i="1"/>
  <c r="L583" i="1"/>
  <c r="H583" i="1"/>
  <c r="F583" i="1"/>
  <c r="G583" i="1" s="1"/>
  <c r="AO582" i="1"/>
  <c r="AN582" i="1"/>
  <c r="AK582" i="1"/>
  <c r="U582" i="1"/>
  <c r="R582" i="1"/>
  <c r="O582" i="1"/>
  <c r="L582" i="1"/>
  <c r="H582" i="1"/>
  <c r="F582" i="1"/>
  <c r="G582" i="1" s="1"/>
  <c r="AO581" i="1"/>
  <c r="AN581" i="1"/>
  <c r="AK581" i="1"/>
  <c r="U581" i="1"/>
  <c r="R581" i="1"/>
  <c r="O581" i="1"/>
  <c r="L581" i="1"/>
  <c r="H581" i="1"/>
  <c r="F581" i="1"/>
  <c r="G581" i="1" s="1"/>
  <c r="AO580" i="1"/>
  <c r="AN580" i="1"/>
  <c r="AK580" i="1"/>
  <c r="U580" i="1"/>
  <c r="R580" i="1"/>
  <c r="O580" i="1"/>
  <c r="L580" i="1"/>
  <c r="H580" i="1"/>
  <c r="F580" i="1"/>
  <c r="G580" i="1" s="1"/>
  <c r="AO579" i="1"/>
  <c r="AN579" i="1"/>
  <c r="AK579" i="1"/>
  <c r="U579" i="1"/>
  <c r="R579" i="1"/>
  <c r="O579" i="1"/>
  <c r="L579" i="1"/>
  <c r="H579" i="1"/>
  <c r="F579" i="1"/>
  <c r="G579" i="1" s="1"/>
  <c r="AO586" i="1"/>
  <c r="AN586" i="1"/>
  <c r="AK586" i="1"/>
  <c r="U586" i="1"/>
  <c r="R586" i="1"/>
  <c r="O586" i="1"/>
  <c r="L586" i="1"/>
  <c r="H586" i="1"/>
  <c r="F586" i="1"/>
  <c r="G586" i="1" s="1"/>
  <c r="AO585" i="1"/>
  <c r="AN585" i="1"/>
  <c r="AK585" i="1"/>
  <c r="U585" i="1"/>
  <c r="R585" i="1"/>
  <c r="O585" i="1"/>
  <c r="L585" i="1"/>
  <c r="H585" i="1"/>
  <c r="F585" i="1"/>
  <c r="G585" i="1" s="1"/>
  <c r="AO584" i="1"/>
  <c r="AN584" i="1"/>
  <c r="AK584" i="1"/>
  <c r="U584" i="1"/>
  <c r="R584" i="1"/>
  <c r="O584" i="1"/>
  <c r="L584" i="1"/>
  <c r="H584" i="1"/>
  <c r="F584" i="1"/>
  <c r="G584" i="1" s="1"/>
  <c r="AX588" i="1"/>
  <c r="AX587" i="1"/>
  <c r="AJ568" i="1" l="1"/>
  <c r="AJ578" i="1"/>
  <c r="AJ567" i="1"/>
  <c r="AJ576" i="1"/>
  <c r="AJ581" i="1"/>
  <c r="AJ583" i="1"/>
  <c r="AJ584" i="1"/>
  <c r="AJ575" i="1"/>
  <c r="AJ579" i="1"/>
  <c r="AJ574" i="1"/>
  <c r="AJ573" i="1"/>
  <c r="AJ580" i="1"/>
  <c r="AJ586" i="1"/>
  <c r="AJ582" i="1"/>
  <c r="AJ577" i="1"/>
  <c r="AJ571" i="1"/>
  <c r="AJ572" i="1"/>
  <c r="AJ566" i="1"/>
  <c r="AJ585" i="1"/>
  <c r="AJ570" i="1"/>
  <c r="AJ565" i="1"/>
  <c r="AX586" i="1"/>
  <c r="AX585" i="1"/>
  <c r="AX584" i="1"/>
  <c r="AX574" i="1" l="1"/>
  <c r="AX575" i="1"/>
  <c r="AX576" i="1"/>
  <c r="AX577" i="1"/>
  <c r="AX578" i="1"/>
  <c r="AX579" i="1"/>
  <c r="AX580" i="1"/>
  <c r="AX581" i="1"/>
  <c r="AX582" i="1"/>
  <c r="AX583" i="1"/>
  <c r="AX569" i="1" l="1"/>
  <c r="AX570" i="1"/>
  <c r="AX571" i="1"/>
  <c r="AX572" i="1"/>
  <c r="AX573" i="1"/>
  <c r="AX568" i="1" l="1"/>
  <c r="AX567" i="1"/>
  <c r="AX566" i="1"/>
  <c r="AX565" i="1"/>
  <c r="AO548" i="1" l="1"/>
  <c r="AN548" i="1"/>
  <c r="AK548" i="1"/>
  <c r="U548" i="1"/>
  <c r="R548" i="1"/>
  <c r="O548" i="1"/>
  <c r="L548" i="1"/>
  <c r="H548" i="1"/>
  <c r="F548" i="1"/>
  <c r="G548" i="1" s="1"/>
  <c r="AO547" i="1"/>
  <c r="AN547" i="1"/>
  <c r="AK547" i="1"/>
  <c r="U547" i="1"/>
  <c r="R547" i="1"/>
  <c r="O547" i="1"/>
  <c r="L547" i="1"/>
  <c r="H547" i="1"/>
  <c r="F547" i="1"/>
  <c r="G547" i="1" s="1"/>
  <c r="AO546" i="1"/>
  <c r="AN546" i="1"/>
  <c r="AK546" i="1"/>
  <c r="U546" i="1"/>
  <c r="R546" i="1"/>
  <c r="O546" i="1"/>
  <c r="L546" i="1"/>
  <c r="H546" i="1"/>
  <c r="F546" i="1"/>
  <c r="G546" i="1" s="1"/>
  <c r="AO545" i="1"/>
  <c r="AN545" i="1"/>
  <c r="AK545" i="1"/>
  <c r="U545" i="1"/>
  <c r="R545" i="1"/>
  <c r="O545" i="1"/>
  <c r="L545" i="1"/>
  <c r="H545" i="1"/>
  <c r="F545" i="1"/>
  <c r="G545" i="1" s="1"/>
  <c r="AO544" i="1"/>
  <c r="AN544" i="1"/>
  <c r="AK544" i="1"/>
  <c r="U544" i="1"/>
  <c r="R544" i="1"/>
  <c r="O544" i="1"/>
  <c r="L544" i="1"/>
  <c r="H544" i="1"/>
  <c r="F544" i="1"/>
  <c r="G544" i="1" s="1"/>
  <c r="AO553" i="1"/>
  <c r="AN553" i="1"/>
  <c r="AK553" i="1"/>
  <c r="U553" i="1"/>
  <c r="R553" i="1"/>
  <c r="O553" i="1"/>
  <c r="L553" i="1"/>
  <c r="H553" i="1"/>
  <c r="F553" i="1"/>
  <c r="G553" i="1" s="1"/>
  <c r="AO552" i="1"/>
  <c r="AK552" i="1"/>
  <c r="U552" i="1"/>
  <c r="R552" i="1"/>
  <c r="O552" i="1"/>
  <c r="L552" i="1"/>
  <c r="H552" i="1"/>
  <c r="F552" i="1"/>
  <c r="G552" i="1" s="1"/>
  <c r="AO551" i="1"/>
  <c r="AN551" i="1"/>
  <c r="AK551" i="1"/>
  <c r="U551" i="1"/>
  <c r="R551" i="1"/>
  <c r="O551" i="1"/>
  <c r="L551" i="1"/>
  <c r="H551" i="1"/>
  <c r="F551" i="1"/>
  <c r="G551" i="1" s="1"/>
  <c r="AO550" i="1"/>
  <c r="AN550" i="1"/>
  <c r="AK550" i="1"/>
  <c r="U550" i="1"/>
  <c r="R550" i="1"/>
  <c r="O550" i="1"/>
  <c r="L550" i="1"/>
  <c r="H550" i="1"/>
  <c r="F550" i="1"/>
  <c r="G550" i="1" s="1"/>
  <c r="AO549" i="1"/>
  <c r="AN549" i="1"/>
  <c r="AK549" i="1"/>
  <c r="U549" i="1"/>
  <c r="R549" i="1"/>
  <c r="O549" i="1"/>
  <c r="L549" i="1"/>
  <c r="H549" i="1"/>
  <c r="F549" i="1"/>
  <c r="G549" i="1" s="1"/>
  <c r="AO558" i="1"/>
  <c r="AN558" i="1"/>
  <c r="AK558" i="1"/>
  <c r="U558" i="1"/>
  <c r="R558" i="1"/>
  <c r="O558" i="1"/>
  <c r="L558" i="1"/>
  <c r="H558" i="1"/>
  <c r="F558" i="1"/>
  <c r="G558" i="1" s="1"/>
  <c r="AO557" i="1"/>
  <c r="AK557" i="1"/>
  <c r="U557" i="1"/>
  <c r="R557" i="1"/>
  <c r="O557" i="1"/>
  <c r="L557" i="1"/>
  <c r="H557" i="1"/>
  <c r="F557" i="1"/>
  <c r="G557" i="1" s="1"/>
  <c r="AO556" i="1"/>
  <c r="AN556" i="1"/>
  <c r="AK556" i="1"/>
  <c r="U556" i="1"/>
  <c r="R556" i="1"/>
  <c r="O556" i="1"/>
  <c r="L556" i="1"/>
  <c r="H556" i="1"/>
  <c r="F556" i="1"/>
  <c r="G556" i="1" s="1"/>
  <c r="AO555" i="1"/>
  <c r="AN555" i="1"/>
  <c r="AK555" i="1"/>
  <c r="U555" i="1"/>
  <c r="R555" i="1"/>
  <c r="O555" i="1"/>
  <c r="L555" i="1"/>
  <c r="H555" i="1"/>
  <c r="F555" i="1"/>
  <c r="G555" i="1" s="1"/>
  <c r="AO554" i="1"/>
  <c r="AN554" i="1"/>
  <c r="AK554" i="1"/>
  <c r="U554" i="1"/>
  <c r="R554" i="1"/>
  <c r="O554" i="1"/>
  <c r="L554" i="1"/>
  <c r="H554" i="1"/>
  <c r="F554" i="1"/>
  <c r="G554" i="1" s="1"/>
  <c r="AO563" i="1"/>
  <c r="AN563" i="1"/>
  <c r="AK563" i="1"/>
  <c r="U563" i="1"/>
  <c r="R563" i="1"/>
  <c r="O563" i="1"/>
  <c r="L563" i="1"/>
  <c r="H563" i="1"/>
  <c r="F563" i="1"/>
  <c r="G563" i="1" s="1"/>
  <c r="AP562" i="1"/>
  <c r="AO562" i="1"/>
  <c r="AN562" i="1"/>
  <c r="AK562" i="1"/>
  <c r="U562" i="1"/>
  <c r="R562" i="1"/>
  <c r="O562" i="1"/>
  <c r="L562" i="1"/>
  <c r="H562" i="1"/>
  <c r="F562" i="1"/>
  <c r="G562" i="1" s="1"/>
  <c r="AO561" i="1"/>
  <c r="AN561" i="1"/>
  <c r="AK561" i="1"/>
  <c r="U561" i="1"/>
  <c r="R561" i="1"/>
  <c r="O561" i="1"/>
  <c r="L561" i="1"/>
  <c r="H561" i="1"/>
  <c r="F561" i="1"/>
  <c r="G561" i="1" s="1"/>
  <c r="AO560" i="1"/>
  <c r="AN560" i="1"/>
  <c r="AK560" i="1"/>
  <c r="U560" i="1"/>
  <c r="R560" i="1"/>
  <c r="O560" i="1"/>
  <c r="L560" i="1"/>
  <c r="H560" i="1"/>
  <c r="F560" i="1"/>
  <c r="G560" i="1" s="1"/>
  <c r="AO559" i="1"/>
  <c r="AN559" i="1"/>
  <c r="AK559" i="1"/>
  <c r="U559" i="1"/>
  <c r="R559" i="1"/>
  <c r="O559" i="1"/>
  <c r="L559" i="1"/>
  <c r="H559" i="1"/>
  <c r="F559" i="1"/>
  <c r="G559" i="1" s="1"/>
  <c r="AJ550" i="1" l="1"/>
  <c r="AJ562" i="1"/>
  <c r="AJ544" i="1"/>
  <c r="AJ553" i="1"/>
  <c r="AJ558" i="1"/>
  <c r="AJ559" i="1"/>
  <c r="AJ561" i="1"/>
  <c r="AJ547" i="1"/>
  <c r="AJ545" i="1"/>
  <c r="AJ551" i="1"/>
  <c r="AJ556" i="1"/>
  <c r="AJ555" i="1"/>
  <c r="AJ549" i="1"/>
  <c r="AJ548" i="1"/>
  <c r="AJ552" i="1"/>
  <c r="AJ554" i="1"/>
  <c r="AJ546" i="1"/>
  <c r="AJ560" i="1"/>
  <c r="AJ563" i="1"/>
  <c r="AJ557" i="1"/>
  <c r="AO564" i="1"/>
  <c r="AN564" i="1"/>
  <c r="AK564" i="1"/>
  <c r="U564" i="1"/>
  <c r="R564" i="1"/>
  <c r="O564" i="1"/>
  <c r="L564" i="1"/>
  <c r="H564" i="1"/>
  <c r="F564" i="1"/>
  <c r="G564" i="1" s="1"/>
  <c r="AJ564" i="1" l="1"/>
  <c r="AX564" i="1"/>
  <c r="AX559" i="1" l="1"/>
  <c r="AX560" i="1"/>
  <c r="AX561" i="1"/>
  <c r="AX562" i="1"/>
  <c r="AX563" i="1"/>
  <c r="AX554" i="1" l="1"/>
  <c r="AX555" i="1"/>
  <c r="AX556" i="1"/>
  <c r="AX557" i="1"/>
  <c r="AX558" i="1"/>
  <c r="AX549" i="1" l="1"/>
  <c r="AX550" i="1"/>
  <c r="AX551" i="1"/>
  <c r="AX552" i="1"/>
  <c r="AX553" i="1"/>
  <c r="AX544" i="1"/>
  <c r="AX545" i="1"/>
  <c r="AX546" i="1"/>
  <c r="AX547" i="1"/>
  <c r="AX548" i="1"/>
  <c r="AP541" i="1" l="1"/>
  <c r="AO541" i="1"/>
  <c r="AN541" i="1"/>
  <c r="AK541" i="1"/>
  <c r="U541" i="1"/>
  <c r="R541" i="1"/>
  <c r="O541" i="1"/>
  <c r="L541" i="1"/>
  <c r="H541" i="1"/>
  <c r="F541" i="1"/>
  <c r="G541" i="1" s="1"/>
  <c r="AJ541" i="1" l="1"/>
  <c r="AO524" i="1"/>
  <c r="AK524" i="1"/>
  <c r="U524" i="1"/>
  <c r="R524" i="1"/>
  <c r="O524" i="1"/>
  <c r="L524" i="1"/>
  <c r="H524" i="1"/>
  <c r="F524" i="1"/>
  <c r="G524" i="1" s="1"/>
  <c r="AO528" i="1"/>
  <c r="AN528" i="1"/>
  <c r="AK528" i="1"/>
  <c r="U528" i="1"/>
  <c r="R528" i="1"/>
  <c r="O528" i="1"/>
  <c r="L528" i="1"/>
  <c r="H528" i="1"/>
  <c r="F528" i="1"/>
  <c r="G528" i="1" s="1"/>
  <c r="AO527" i="1"/>
  <c r="AN527" i="1"/>
  <c r="AK527" i="1"/>
  <c r="U527" i="1"/>
  <c r="R527" i="1"/>
  <c r="O527" i="1"/>
  <c r="L527" i="1"/>
  <c r="H527" i="1"/>
  <c r="F527" i="1"/>
  <c r="G527" i="1" s="1"/>
  <c r="AP526" i="1"/>
  <c r="AO526" i="1"/>
  <c r="AN526" i="1"/>
  <c r="AK526" i="1"/>
  <c r="U526" i="1"/>
  <c r="R526" i="1"/>
  <c r="O526" i="1"/>
  <c r="L526" i="1"/>
  <c r="H526" i="1"/>
  <c r="F526" i="1"/>
  <c r="G526" i="1" s="1"/>
  <c r="AO525" i="1"/>
  <c r="AK525" i="1"/>
  <c r="U525" i="1"/>
  <c r="R525" i="1"/>
  <c r="O525" i="1"/>
  <c r="L525" i="1"/>
  <c r="H525" i="1"/>
  <c r="F525" i="1"/>
  <c r="G525" i="1" s="1"/>
  <c r="AO533" i="1"/>
  <c r="AN533" i="1"/>
  <c r="AK533" i="1"/>
  <c r="U533" i="1"/>
  <c r="R533" i="1"/>
  <c r="O533" i="1"/>
  <c r="L533" i="1"/>
  <c r="H533" i="1"/>
  <c r="F533" i="1"/>
  <c r="G533" i="1" s="1"/>
  <c r="AO532" i="1"/>
  <c r="AN532" i="1"/>
  <c r="U532" i="1"/>
  <c r="R532" i="1"/>
  <c r="O532" i="1"/>
  <c r="L532" i="1"/>
  <c r="H532" i="1"/>
  <c r="F532" i="1"/>
  <c r="G532" i="1" s="1"/>
  <c r="AO531" i="1"/>
  <c r="AN531" i="1"/>
  <c r="AK531" i="1"/>
  <c r="U531" i="1"/>
  <c r="R531" i="1"/>
  <c r="O531" i="1"/>
  <c r="L531" i="1"/>
  <c r="H531" i="1"/>
  <c r="F531" i="1"/>
  <c r="G531" i="1" s="1"/>
  <c r="AO530" i="1"/>
  <c r="AN530" i="1"/>
  <c r="AK530" i="1"/>
  <c r="U530" i="1"/>
  <c r="R530" i="1"/>
  <c r="O530" i="1"/>
  <c r="L530" i="1"/>
  <c r="H530" i="1"/>
  <c r="F530" i="1"/>
  <c r="G530" i="1" s="1"/>
  <c r="AO529" i="1"/>
  <c r="AN529" i="1"/>
  <c r="AK529" i="1"/>
  <c r="U529" i="1"/>
  <c r="R529" i="1"/>
  <c r="O529" i="1"/>
  <c r="L529" i="1"/>
  <c r="H529" i="1"/>
  <c r="F529" i="1"/>
  <c r="G529" i="1" s="1"/>
  <c r="AP538" i="1"/>
  <c r="AO538" i="1"/>
  <c r="AN538" i="1"/>
  <c r="AK538" i="1"/>
  <c r="U538" i="1"/>
  <c r="R538" i="1"/>
  <c r="O538" i="1"/>
  <c r="L538" i="1"/>
  <c r="H538" i="1"/>
  <c r="F538" i="1"/>
  <c r="G538" i="1" s="1"/>
  <c r="AO537" i="1"/>
  <c r="AN537" i="1"/>
  <c r="AK537" i="1"/>
  <c r="U537" i="1"/>
  <c r="R537" i="1"/>
  <c r="O537" i="1"/>
  <c r="L537" i="1"/>
  <c r="H537" i="1"/>
  <c r="F537" i="1"/>
  <c r="G537" i="1" s="1"/>
  <c r="AO536" i="1"/>
  <c r="AN536" i="1"/>
  <c r="AK536" i="1"/>
  <c r="U536" i="1"/>
  <c r="R536" i="1"/>
  <c r="O536" i="1"/>
  <c r="L536" i="1"/>
  <c r="H536" i="1"/>
  <c r="F536" i="1"/>
  <c r="G536" i="1" s="1"/>
  <c r="AO535" i="1"/>
  <c r="AN535" i="1"/>
  <c r="AK535" i="1"/>
  <c r="U535" i="1"/>
  <c r="R535" i="1"/>
  <c r="O535" i="1"/>
  <c r="L535" i="1"/>
  <c r="H535" i="1"/>
  <c r="F535" i="1"/>
  <c r="G535" i="1" s="1"/>
  <c r="AO534" i="1"/>
  <c r="AN534" i="1"/>
  <c r="AK534" i="1"/>
  <c r="U534" i="1"/>
  <c r="R534" i="1"/>
  <c r="O534" i="1"/>
  <c r="L534" i="1"/>
  <c r="H534" i="1"/>
  <c r="F534" i="1"/>
  <c r="G534" i="1" s="1"/>
  <c r="AO543" i="1"/>
  <c r="AN543" i="1"/>
  <c r="AK543" i="1"/>
  <c r="U543" i="1"/>
  <c r="R543" i="1"/>
  <c r="O543" i="1"/>
  <c r="L543" i="1"/>
  <c r="H543" i="1"/>
  <c r="F543" i="1"/>
  <c r="G543" i="1" s="1"/>
  <c r="AO542" i="1"/>
  <c r="AN542" i="1"/>
  <c r="AK542" i="1"/>
  <c r="U542" i="1"/>
  <c r="R542" i="1"/>
  <c r="O542" i="1"/>
  <c r="L542" i="1"/>
  <c r="H542" i="1"/>
  <c r="F542" i="1"/>
  <c r="G542" i="1" s="1"/>
  <c r="AO540" i="1"/>
  <c r="AN540" i="1"/>
  <c r="AK540" i="1"/>
  <c r="U540" i="1"/>
  <c r="R540" i="1"/>
  <c r="O540" i="1"/>
  <c r="L540" i="1"/>
  <c r="H540" i="1"/>
  <c r="F540" i="1"/>
  <c r="G540" i="1" s="1"/>
  <c r="AO539" i="1"/>
  <c r="AN539" i="1"/>
  <c r="AK539" i="1"/>
  <c r="U539" i="1"/>
  <c r="R539" i="1"/>
  <c r="O539" i="1"/>
  <c r="L539" i="1"/>
  <c r="H539" i="1"/>
  <c r="F539" i="1"/>
  <c r="G539" i="1" s="1"/>
  <c r="AJ531" i="1" l="1"/>
  <c r="AJ536" i="1"/>
  <c r="AJ525" i="1"/>
  <c r="AJ524" i="1"/>
  <c r="AJ529" i="1"/>
  <c r="AJ534" i="1"/>
  <c r="AJ540" i="1"/>
  <c r="AJ535" i="1"/>
  <c r="AJ530" i="1"/>
  <c r="AJ539" i="1"/>
  <c r="AJ538" i="1"/>
  <c r="AJ533" i="1"/>
  <c r="AJ528" i="1"/>
  <c r="AJ543" i="1"/>
  <c r="AJ527" i="1"/>
  <c r="AJ532" i="1"/>
  <c r="AJ542" i="1"/>
  <c r="AJ537" i="1"/>
  <c r="AJ526" i="1"/>
  <c r="AX539" i="1"/>
  <c r="AX540" i="1"/>
  <c r="AX541" i="1"/>
  <c r="AX542" i="1"/>
  <c r="AX543" i="1"/>
  <c r="AX534" i="1" l="1"/>
  <c r="AX535" i="1"/>
  <c r="AX536" i="1"/>
  <c r="AX537" i="1"/>
  <c r="AX538" i="1"/>
  <c r="AX525" i="1"/>
  <c r="AX526" i="1"/>
  <c r="AX527" i="1"/>
  <c r="AX528" i="1"/>
  <c r="AX529" i="1"/>
  <c r="AX530" i="1"/>
  <c r="AX531" i="1"/>
  <c r="AX532" i="1"/>
  <c r="AX533" i="1"/>
  <c r="AP520" i="1" l="1"/>
  <c r="AO505" i="1" l="1"/>
  <c r="AN505" i="1"/>
  <c r="AK505" i="1"/>
  <c r="U505" i="1"/>
  <c r="R505" i="1"/>
  <c r="O505" i="1"/>
  <c r="L505" i="1"/>
  <c r="H505" i="1"/>
  <c r="F505" i="1"/>
  <c r="G505" i="1" s="1"/>
  <c r="AO504" i="1"/>
  <c r="AN504" i="1"/>
  <c r="AK504" i="1"/>
  <c r="U504" i="1"/>
  <c r="R504" i="1"/>
  <c r="O504" i="1"/>
  <c r="L504" i="1"/>
  <c r="H504" i="1"/>
  <c r="F504" i="1"/>
  <c r="G504" i="1" s="1"/>
  <c r="AO503" i="1"/>
  <c r="AN503" i="1"/>
  <c r="AK503" i="1"/>
  <c r="U503" i="1"/>
  <c r="R503" i="1"/>
  <c r="O503" i="1"/>
  <c r="L503" i="1"/>
  <c r="H503" i="1"/>
  <c r="F503" i="1"/>
  <c r="G503" i="1" s="1"/>
  <c r="AO502" i="1"/>
  <c r="AN502" i="1"/>
  <c r="AK502" i="1"/>
  <c r="U502" i="1"/>
  <c r="R502" i="1"/>
  <c r="O502" i="1"/>
  <c r="L502" i="1"/>
  <c r="H502" i="1"/>
  <c r="F502" i="1"/>
  <c r="G502" i="1" s="1"/>
  <c r="AO510" i="1"/>
  <c r="AN510" i="1"/>
  <c r="AK510" i="1"/>
  <c r="U510" i="1"/>
  <c r="R510" i="1"/>
  <c r="O510" i="1"/>
  <c r="L510" i="1"/>
  <c r="H510" i="1"/>
  <c r="F510" i="1"/>
  <c r="G510" i="1" s="1"/>
  <c r="AO509" i="1"/>
  <c r="AN509" i="1"/>
  <c r="AK509" i="1"/>
  <c r="U509" i="1"/>
  <c r="R509" i="1"/>
  <c r="O509" i="1"/>
  <c r="L509" i="1"/>
  <c r="H509" i="1"/>
  <c r="F509" i="1"/>
  <c r="G509" i="1" s="1"/>
  <c r="AO508" i="1"/>
  <c r="AN508" i="1"/>
  <c r="AK508" i="1"/>
  <c r="U508" i="1"/>
  <c r="R508" i="1"/>
  <c r="O508" i="1"/>
  <c r="L508" i="1"/>
  <c r="H508" i="1"/>
  <c r="F508" i="1"/>
  <c r="G508" i="1" s="1"/>
  <c r="AO507" i="1"/>
  <c r="AN507" i="1"/>
  <c r="AK507" i="1"/>
  <c r="U507" i="1"/>
  <c r="R507" i="1"/>
  <c r="O507" i="1"/>
  <c r="L507" i="1"/>
  <c r="H507" i="1"/>
  <c r="F507" i="1"/>
  <c r="G507" i="1" s="1"/>
  <c r="AO506" i="1"/>
  <c r="AN506" i="1"/>
  <c r="AK506" i="1"/>
  <c r="U506" i="1"/>
  <c r="R506" i="1"/>
  <c r="O506" i="1"/>
  <c r="L506" i="1"/>
  <c r="H506" i="1"/>
  <c r="F506" i="1"/>
  <c r="G506" i="1" s="1"/>
  <c r="AO515" i="1"/>
  <c r="AN515" i="1"/>
  <c r="AK515" i="1"/>
  <c r="AJ515" i="1"/>
  <c r="U515" i="1"/>
  <c r="R515" i="1"/>
  <c r="O515" i="1"/>
  <c r="L515" i="1"/>
  <c r="H515" i="1"/>
  <c r="F515" i="1"/>
  <c r="G515" i="1" s="1"/>
  <c r="AO514" i="1"/>
  <c r="AN514" i="1"/>
  <c r="AK514" i="1"/>
  <c r="U514" i="1"/>
  <c r="R514" i="1"/>
  <c r="O514" i="1"/>
  <c r="L514" i="1"/>
  <c r="H514" i="1"/>
  <c r="F514" i="1"/>
  <c r="G514" i="1" s="1"/>
  <c r="AO513" i="1"/>
  <c r="AN513" i="1"/>
  <c r="AK513" i="1"/>
  <c r="U513" i="1"/>
  <c r="R513" i="1"/>
  <c r="O513" i="1"/>
  <c r="L513" i="1"/>
  <c r="H513" i="1"/>
  <c r="F513" i="1"/>
  <c r="G513" i="1" s="1"/>
  <c r="AO512" i="1"/>
  <c r="AN512" i="1"/>
  <c r="AK512" i="1"/>
  <c r="U512" i="1"/>
  <c r="R512" i="1"/>
  <c r="O512" i="1"/>
  <c r="L512" i="1"/>
  <c r="H512" i="1"/>
  <c r="F512" i="1"/>
  <c r="G512" i="1" s="1"/>
  <c r="AO511" i="1"/>
  <c r="AN511" i="1"/>
  <c r="AK511" i="1"/>
  <c r="U511" i="1"/>
  <c r="R511" i="1"/>
  <c r="O511" i="1"/>
  <c r="L511" i="1"/>
  <c r="H511" i="1"/>
  <c r="F511" i="1"/>
  <c r="G511" i="1" s="1"/>
  <c r="AO520" i="1"/>
  <c r="AN520" i="1"/>
  <c r="AK520" i="1"/>
  <c r="U520" i="1"/>
  <c r="R520" i="1"/>
  <c r="O520" i="1"/>
  <c r="L520" i="1"/>
  <c r="H520" i="1"/>
  <c r="F520" i="1"/>
  <c r="G520" i="1" s="1"/>
  <c r="AO519" i="1"/>
  <c r="AN519" i="1"/>
  <c r="AK519" i="1"/>
  <c r="U519" i="1"/>
  <c r="R519" i="1"/>
  <c r="O519" i="1"/>
  <c r="L519" i="1"/>
  <c r="H519" i="1"/>
  <c r="F519" i="1"/>
  <c r="G519" i="1" s="1"/>
  <c r="AO518" i="1"/>
  <c r="AN518" i="1"/>
  <c r="AK518" i="1"/>
  <c r="U518" i="1"/>
  <c r="R518" i="1"/>
  <c r="O518" i="1"/>
  <c r="L518" i="1"/>
  <c r="H518" i="1"/>
  <c r="F518" i="1"/>
  <c r="G518" i="1" s="1"/>
  <c r="AO517" i="1"/>
  <c r="AN517" i="1"/>
  <c r="AK517" i="1"/>
  <c r="U517" i="1"/>
  <c r="R517" i="1"/>
  <c r="O517" i="1"/>
  <c r="L517" i="1"/>
  <c r="H517" i="1"/>
  <c r="F517" i="1"/>
  <c r="G517" i="1" s="1"/>
  <c r="AO516" i="1"/>
  <c r="AN516" i="1"/>
  <c r="AK516" i="1"/>
  <c r="U516" i="1"/>
  <c r="R516" i="1"/>
  <c r="O516" i="1"/>
  <c r="L516" i="1"/>
  <c r="H516" i="1"/>
  <c r="F516" i="1"/>
  <c r="G516" i="1" s="1"/>
  <c r="AO523" i="1"/>
  <c r="AN523" i="1"/>
  <c r="AK523" i="1"/>
  <c r="U523" i="1"/>
  <c r="R523" i="1"/>
  <c r="O523" i="1"/>
  <c r="L523" i="1"/>
  <c r="H523" i="1"/>
  <c r="F523" i="1"/>
  <c r="G523" i="1" s="1"/>
  <c r="AO522" i="1"/>
  <c r="AN522" i="1"/>
  <c r="AK522" i="1"/>
  <c r="U522" i="1"/>
  <c r="R522" i="1"/>
  <c r="O522" i="1"/>
  <c r="L522" i="1"/>
  <c r="H522" i="1"/>
  <c r="F522" i="1"/>
  <c r="G522" i="1" s="1"/>
  <c r="AO521" i="1"/>
  <c r="AN521" i="1"/>
  <c r="AK521" i="1"/>
  <c r="U521" i="1"/>
  <c r="R521" i="1"/>
  <c r="O521" i="1"/>
  <c r="L521" i="1"/>
  <c r="H521" i="1"/>
  <c r="F521" i="1"/>
  <c r="G521" i="1" s="1"/>
  <c r="AJ505" i="1" l="1"/>
  <c r="AJ506" i="1"/>
  <c r="AJ511" i="1"/>
  <c r="AJ523" i="1"/>
  <c r="AJ513" i="1"/>
  <c r="AJ504" i="1"/>
  <c r="AJ520" i="1"/>
  <c r="AJ514" i="1"/>
  <c r="AJ516" i="1"/>
  <c r="AJ508" i="1"/>
  <c r="AJ521" i="1"/>
  <c r="AJ517" i="1"/>
  <c r="AJ503" i="1"/>
  <c r="AJ502" i="1"/>
  <c r="AJ518" i="1"/>
  <c r="AJ509" i="1"/>
  <c r="AJ522" i="1"/>
  <c r="AJ519" i="1"/>
  <c r="AJ512" i="1"/>
  <c r="AJ507" i="1"/>
  <c r="AJ510" i="1"/>
  <c r="AX524" i="1"/>
  <c r="AX502" i="1" l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P480" i="1" l="1"/>
  <c r="AO480" i="1"/>
  <c r="AN480" i="1"/>
  <c r="AK480" i="1"/>
  <c r="U480" i="1"/>
  <c r="R480" i="1"/>
  <c r="O480" i="1"/>
  <c r="L480" i="1"/>
  <c r="H480" i="1"/>
  <c r="F480" i="1"/>
  <c r="G480" i="1" s="1"/>
  <c r="AO485" i="1"/>
  <c r="AN485" i="1"/>
  <c r="AK485" i="1"/>
  <c r="U485" i="1"/>
  <c r="R485" i="1"/>
  <c r="O485" i="1"/>
  <c r="L485" i="1"/>
  <c r="H485" i="1"/>
  <c r="F485" i="1"/>
  <c r="G485" i="1" s="1"/>
  <c r="AO484" i="1"/>
  <c r="AN484" i="1"/>
  <c r="AK484" i="1"/>
  <c r="U484" i="1"/>
  <c r="R484" i="1"/>
  <c r="O484" i="1"/>
  <c r="L484" i="1"/>
  <c r="H484" i="1"/>
  <c r="F484" i="1"/>
  <c r="G484" i="1" s="1"/>
  <c r="AO483" i="1"/>
  <c r="AN483" i="1"/>
  <c r="AK483" i="1"/>
  <c r="U483" i="1"/>
  <c r="R483" i="1"/>
  <c r="O483" i="1"/>
  <c r="L483" i="1"/>
  <c r="H483" i="1"/>
  <c r="F483" i="1"/>
  <c r="G483" i="1" s="1"/>
  <c r="AO482" i="1"/>
  <c r="AN482" i="1"/>
  <c r="AK482" i="1"/>
  <c r="U482" i="1"/>
  <c r="R482" i="1"/>
  <c r="O482" i="1"/>
  <c r="L482" i="1"/>
  <c r="H482" i="1"/>
  <c r="F482" i="1"/>
  <c r="G482" i="1" s="1"/>
  <c r="AO481" i="1"/>
  <c r="AN481" i="1"/>
  <c r="AK481" i="1"/>
  <c r="U481" i="1"/>
  <c r="R481" i="1"/>
  <c r="O481" i="1"/>
  <c r="L481" i="1"/>
  <c r="H481" i="1"/>
  <c r="F481" i="1"/>
  <c r="G481" i="1" s="1"/>
  <c r="AO490" i="1"/>
  <c r="AK490" i="1"/>
  <c r="U490" i="1"/>
  <c r="R490" i="1"/>
  <c r="O490" i="1"/>
  <c r="L490" i="1"/>
  <c r="H490" i="1"/>
  <c r="F490" i="1"/>
  <c r="G490" i="1" s="1"/>
  <c r="AO489" i="1"/>
  <c r="AN489" i="1"/>
  <c r="AK489" i="1"/>
  <c r="U489" i="1"/>
  <c r="R489" i="1"/>
  <c r="O489" i="1"/>
  <c r="L489" i="1"/>
  <c r="I489" i="1"/>
  <c r="H489" i="1" s="1"/>
  <c r="F489" i="1"/>
  <c r="G489" i="1" s="1"/>
  <c r="AO488" i="1"/>
  <c r="AN488" i="1"/>
  <c r="AK488" i="1"/>
  <c r="U488" i="1"/>
  <c r="R488" i="1"/>
  <c r="O488" i="1"/>
  <c r="L488" i="1"/>
  <c r="H488" i="1"/>
  <c r="F488" i="1"/>
  <c r="G488" i="1" s="1"/>
  <c r="AO487" i="1"/>
  <c r="AN487" i="1"/>
  <c r="AK487" i="1"/>
  <c r="U487" i="1"/>
  <c r="R487" i="1"/>
  <c r="O487" i="1"/>
  <c r="L487" i="1"/>
  <c r="H487" i="1"/>
  <c r="F487" i="1"/>
  <c r="G487" i="1" s="1"/>
  <c r="AO486" i="1"/>
  <c r="AN486" i="1"/>
  <c r="AK486" i="1"/>
  <c r="U486" i="1"/>
  <c r="R486" i="1"/>
  <c r="O486" i="1"/>
  <c r="L486" i="1"/>
  <c r="I486" i="1"/>
  <c r="H486" i="1" s="1"/>
  <c r="F486" i="1"/>
  <c r="G486" i="1" s="1"/>
  <c r="AO495" i="1"/>
  <c r="AN495" i="1"/>
  <c r="AK495" i="1"/>
  <c r="U495" i="1"/>
  <c r="R495" i="1"/>
  <c r="O495" i="1"/>
  <c r="L495" i="1"/>
  <c r="H495" i="1"/>
  <c r="F495" i="1"/>
  <c r="G495" i="1" s="1"/>
  <c r="AO494" i="1"/>
  <c r="AN494" i="1"/>
  <c r="AK494" i="1"/>
  <c r="U494" i="1"/>
  <c r="R494" i="1"/>
  <c r="O494" i="1"/>
  <c r="L494" i="1"/>
  <c r="H494" i="1"/>
  <c r="F494" i="1"/>
  <c r="G494" i="1" s="1"/>
  <c r="AO493" i="1"/>
  <c r="AN493" i="1"/>
  <c r="AK493" i="1"/>
  <c r="U493" i="1"/>
  <c r="R493" i="1"/>
  <c r="O493" i="1"/>
  <c r="L493" i="1"/>
  <c r="I493" i="1"/>
  <c r="H493" i="1" s="1"/>
  <c r="F493" i="1"/>
  <c r="G493" i="1" s="1"/>
  <c r="AO492" i="1"/>
  <c r="AN492" i="1"/>
  <c r="AK492" i="1"/>
  <c r="U492" i="1"/>
  <c r="R492" i="1"/>
  <c r="O492" i="1"/>
  <c r="L492" i="1"/>
  <c r="H492" i="1"/>
  <c r="F492" i="1"/>
  <c r="G492" i="1" s="1"/>
  <c r="AO491" i="1"/>
  <c r="AN491" i="1"/>
  <c r="AK491" i="1"/>
  <c r="U491" i="1"/>
  <c r="R491" i="1"/>
  <c r="O491" i="1"/>
  <c r="L491" i="1"/>
  <c r="I491" i="1"/>
  <c r="H491" i="1" s="1"/>
  <c r="F491" i="1"/>
  <c r="G491" i="1" s="1"/>
  <c r="AO500" i="1"/>
  <c r="AN500" i="1"/>
  <c r="AK500" i="1"/>
  <c r="U500" i="1"/>
  <c r="R500" i="1"/>
  <c r="O500" i="1"/>
  <c r="L500" i="1"/>
  <c r="H500" i="1"/>
  <c r="F500" i="1"/>
  <c r="G500" i="1" s="1"/>
  <c r="AO499" i="1"/>
  <c r="AN499" i="1"/>
  <c r="AK499" i="1"/>
  <c r="U499" i="1"/>
  <c r="R499" i="1"/>
  <c r="O499" i="1"/>
  <c r="L499" i="1"/>
  <c r="H499" i="1"/>
  <c r="F499" i="1"/>
  <c r="G499" i="1" s="1"/>
  <c r="AO498" i="1"/>
  <c r="AN498" i="1"/>
  <c r="AK498" i="1"/>
  <c r="U498" i="1"/>
  <c r="R498" i="1"/>
  <c r="O498" i="1"/>
  <c r="L498" i="1"/>
  <c r="H498" i="1"/>
  <c r="F498" i="1"/>
  <c r="G498" i="1" s="1"/>
  <c r="AO497" i="1"/>
  <c r="AN497" i="1"/>
  <c r="AK497" i="1"/>
  <c r="U497" i="1"/>
  <c r="R497" i="1"/>
  <c r="O497" i="1"/>
  <c r="L497" i="1"/>
  <c r="H497" i="1"/>
  <c r="F497" i="1"/>
  <c r="G497" i="1" s="1"/>
  <c r="AO496" i="1"/>
  <c r="AN496" i="1"/>
  <c r="AK496" i="1"/>
  <c r="U496" i="1"/>
  <c r="R496" i="1"/>
  <c r="O496" i="1"/>
  <c r="L496" i="1"/>
  <c r="H496" i="1"/>
  <c r="F496" i="1"/>
  <c r="G496" i="1" s="1"/>
  <c r="AO501" i="1"/>
  <c r="AN501" i="1"/>
  <c r="AK501" i="1"/>
  <c r="U501" i="1"/>
  <c r="R501" i="1"/>
  <c r="O501" i="1"/>
  <c r="L501" i="1"/>
  <c r="H501" i="1"/>
  <c r="F501" i="1"/>
  <c r="G501" i="1" s="1"/>
  <c r="AJ491" i="1" l="1"/>
  <c r="AJ485" i="1"/>
  <c r="AJ496" i="1"/>
  <c r="AJ489" i="1"/>
  <c r="AJ494" i="1"/>
  <c r="AJ484" i="1"/>
  <c r="AJ500" i="1"/>
  <c r="AJ486" i="1"/>
  <c r="AJ498" i="1"/>
  <c r="AJ501" i="1"/>
  <c r="AJ499" i="1"/>
  <c r="AJ492" i="1"/>
  <c r="AJ495" i="1"/>
  <c r="AJ487" i="1"/>
  <c r="AJ490" i="1"/>
  <c r="AJ493" i="1"/>
  <c r="AJ488" i="1"/>
  <c r="AJ481" i="1"/>
  <c r="AJ482" i="1"/>
  <c r="AJ483" i="1"/>
  <c r="AJ497" i="1"/>
  <c r="AJ480" i="1"/>
  <c r="AX493" i="1" l="1"/>
  <c r="AO479" i="1" l="1"/>
  <c r="AN479" i="1"/>
  <c r="AK479" i="1"/>
  <c r="U479" i="1"/>
  <c r="R479" i="1"/>
  <c r="O479" i="1"/>
  <c r="L479" i="1"/>
  <c r="H479" i="1"/>
  <c r="F479" i="1"/>
  <c r="G479" i="1" s="1"/>
  <c r="AO478" i="1"/>
  <c r="AN478" i="1"/>
  <c r="AK478" i="1"/>
  <c r="U478" i="1"/>
  <c r="R478" i="1"/>
  <c r="O478" i="1"/>
  <c r="L478" i="1"/>
  <c r="H478" i="1"/>
  <c r="F478" i="1"/>
  <c r="G478" i="1" s="1"/>
  <c r="AO477" i="1"/>
  <c r="AN477" i="1"/>
  <c r="AK477" i="1"/>
  <c r="U477" i="1"/>
  <c r="R477" i="1"/>
  <c r="O477" i="1"/>
  <c r="L477" i="1"/>
  <c r="H477" i="1"/>
  <c r="F477" i="1"/>
  <c r="G477" i="1" s="1"/>
  <c r="AO476" i="1"/>
  <c r="AN476" i="1"/>
  <c r="AK476" i="1"/>
  <c r="U476" i="1"/>
  <c r="R476" i="1"/>
  <c r="O476" i="1"/>
  <c r="L476" i="1"/>
  <c r="H476" i="1"/>
  <c r="F476" i="1"/>
  <c r="G476" i="1" s="1"/>
  <c r="AO475" i="1"/>
  <c r="AN475" i="1"/>
  <c r="AK475" i="1"/>
  <c r="U475" i="1"/>
  <c r="R475" i="1"/>
  <c r="O475" i="1"/>
  <c r="L475" i="1"/>
  <c r="H475" i="1"/>
  <c r="F475" i="1"/>
  <c r="G475" i="1" s="1"/>
  <c r="AO474" i="1"/>
  <c r="AN474" i="1"/>
  <c r="AK474" i="1"/>
  <c r="U474" i="1"/>
  <c r="R474" i="1"/>
  <c r="O474" i="1"/>
  <c r="L474" i="1"/>
  <c r="H474" i="1"/>
  <c r="F474" i="1"/>
  <c r="G474" i="1" s="1"/>
  <c r="AO473" i="1"/>
  <c r="AN473" i="1"/>
  <c r="AK473" i="1"/>
  <c r="U473" i="1"/>
  <c r="R473" i="1"/>
  <c r="O473" i="1"/>
  <c r="L473" i="1"/>
  <c r="H473" i="1"/>
  <c r="F473" i="1"/>
  <c r="G473" i="1" s="1"/>
  <c r="AO472" i="1"/>
  <c r="AN472" i="1"/>
  <c r="AK472" i="1"/>
  <c r="U472" i="1"/>
  <c r="R472" i="1"/>
  <c r="O472" i="1"/>
  <c r="L472" i="1"/>
  <c r="H472" i="1"/>
  <c r="F472" i="1"/>
  <c r="G472" i="1" s="1"/>
  <c r="AO471" i="1"/>
  <c r="AN471" i="1"/>
  <c r="AK471" i="1"/>
  <c r="U471" i="1"/>
  <c r="R471" i="1"/>
  <c r="O471" i="1"/>
  <c r="L471" i="1"/>
  <c r="H471" i="1"/>
  <c r="F471" i="1"/>
  <c r="G471" i="1" s="1"/>
  <c r="AO470" i="1"/>
  <c r="AN470" i="1"/>
  <c r="AK470" i="1"/>
  <c r="U470" i="1"/>
  <c r="R470" i="1"/>
  <c r="O470" i="1"/>
  <c r="L470" i="1"/>
  <c r="H470" i="1"/>
  <c r="F470" i="1"/>
  <c r="G470" i="1" s="1"/>
  <c r="AO469" i="1"/>
  <c r="AN469" i="1"/>
  <c r="AK469" i="1"/>
  <c r="U469" i="1"/>
  <c r="R469" i="1"/>
  <c r="O469" i="1"/>
  <c r="L469" i="1"/>
  <c r="H469" i="1"/>
  <c r="F469" i="1"/>
  <c r="G469" i="1" s="1"/>
  <c r="AO468" i="1"/>
  <c r="AN468" i="1"/>
  <c r="AK468" i="1"/>
  <c r="U468" i="1"/>
  <c r="R468" i="1"/>
  <c r="O468" i="1"/>
  <c r="L468" i="1"/>
  <c r="H468" i="1"/>
  <c r="F468" i="1"/>
  <c r="G468" i="1" s="1"/>
  <c r="AO467" i="1"/>
  <c r="AN467" i="1"/>
  <c r="AK467" i="1"/>
  <c r="U467" i="1"/>
  <c r="R467" i="1"/>
  <c r="O467" i="1"/>
  <c r="L467" i="1"/>
  <c r="H467" i="1"/>
  <c r="F467" i="1"/>
  <c r="G467" i="1" s="1"/>
  <c r="AO466" i="1"/>
  <c r="AN466" i="1"/>
  <c r="AK466" i="1"/>
  <c r="U466" i="1"/>
  <c r="R466" i="1"/>
  <c r="O466" i="1"/>
  <c r="L466" i="1"/>
  <c r="H466" i="1"/>
  <c r="B466" i="1"/>
  <c r="F466" i="1" s="1"/>
  <c r="G466" i="1" s="1"/>
  <c r="AO465" i="1"/>
  <c r="AN465" i="1"/>
  <c r="AK465" i="1"/>
  <c r="U465" i="1"/>
  <c r="R465" i="1"/>
  <c r="O465" i="1"/>
  <c r="L465" i="1"/>
  <c r="H465" i="1"/>
  <c r="F465" i="1"/>
  <c r="G465" i="1" s="1"/>
  <c r="AO464" i="1"/>
  <c r="AN464" i="1"/>
  <c r="AK464" i="1"/>
  <c r="U464" i="1"/>
  <c r="R464" i="1"/>
  <c r="O464" i="1"/>
  <c r="L464" i="1"/>
  <c r="H464" i="1"/>
  <c r="F464" i="1"/>
  <c r="G464" i="1" s="1"/>
  <c r="AO463" i="1"/>
  <c r="AN463" i="1"/>
  <c r="AK463" i="1"/>
  <c r="U463" i="1"/>
  <c r="R463" i="1"/>
  <c r="O463" i="1"/>
  <c r="L463" i="1"/>
  <c r="H463" i="1"/>
  <c r="F463" i="1"/>
  <c r="G463" i="1" s="1"/>
  <c r="AO462" i="1"/>
  <c r="AN462" i="1"/>
  <c r="AK462" i="1"/>
  <c r="U462" i="1"/>
  <c r="R462" i="1"/>
  <c r="O462" i="1"/>
  <c r="L462" i="1"/>
  <c r="H462" i="1"/>
  <c r="F462" i="1"/>
  <c r="G462" i="1" s="1"/>
  <c r="AO461" i="1"/>
  <c r="AN461" i="1"/>
  <c r="AK461" i="1"/>
  <c r="U461" i="1"/>
  <c r="R461" i="1"/>
  <c r="O461" i="1"/>
  <c r="L461" i="1"/>
  <c r="H461" i="1"/>
  <c r="F461" i="1"/>
  <c r="G461" i="1" s="1"/>
  <c r="AO460" i="1"/>
  <c r="AN460" i="1"/>
  <c r="AK460" i="1"/>
  <c r="U460" i="1"/>
  <c r="R460" i="1"/>
  <c r="O460" i="1"/>
  <c r="L460" i="1"/>
  <c r="H460" i="1"/>
  <c r="F460" i="1"/>
  <c r="G460" i="1" s="1"/>
  <c r="AO459" i="1"/>
  <c r="AN459" i="1"/>
  <c r="AK459" i="1"/>
  <c r="U459" i="1"/>
  <c r="R459" i="1"/>
  <c r="O459" i="1"/>
  <c r="L459" i="1"/>
  <c r="H459" i="1"/>
  <c r="F459" i="1"/>
  <c r="G459" i="1" s="1"/>
  <c r="AP458" i="1"/>
  <c r="AO458" i="1"/>
  <c r="AN458" i="1"/>
  <c r="AK458" i="1"/>
  <c r="U458" i="1"/>
  <c r="R458" i="1"/>
  <c r="O458" i="1"/>
  <c r="L458" i="1"/>
  <c r="H458" i="1"/>
  <c r="F458" i="1"/>
  <c r="G458" i="1" s="1"/>
  <c r="AJ474" i="1" l="1"/>
  <c r="AJ473" i="1"/>
  <c r="AJ479" i="1"/>
  <c r="AJ468" i="1"/>
  <c r="AJ461" i="1"/>
  <c r="AJ469" i="1"/>
  <c r="AJ460" i="1"/>
  <c r="AJ462" i="1"/>
  <c r="AJ475" i="1"/>
  <c r="AJ476" i="1"/>
  <c r="AJ458" i="1"/>
  <c r="AJ470" i="1"/>
  <c r="AJ467" i="1"/>
  <c r="AJ463" i="1"/>
  <c r="AJ464" i="1"/>
  <c r="AJ477" i="1"/>
  <c r="AJ465" i="1"/>
  <c r="AJ472" i="1"/>
  <c r="AJ478" i="1"/>
  <c r="AJ459" i="1"/>
  <c r="AJ471" i="1"/>
  <c r="AJ466" i="1"/>
  <c r="AX479" i="1"/>
  <c r="AX476" i="1" l="1"/>
  <c r="AX477" i="1"/>
  <c r="AX478" i="1"/>
  <c r="AX471" i="1" l="1"/>
  <c r="AX472" i="1"/>
  <c r="AX473" i="1"/>
  <c r="AX474" i="1"/>
  <c r="AX475" i="1"/>
  <c r="AX468" i="1" l="1"/>
  <c r="AX469" i="1"/>
  <c r="AX470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12" i="1" l="1"/>
  <c r="AX396" i="1"/>
  <c r="AX380" i="1"/>
  <c r="AX364" i="1"/>
  <c r="AX420" i="1"/>
  <c r="AX404" i="1"/>
  <c r="AX388" i="1"/>
  <c r="AX372" i="1"/>
  <c r="AX416" i="1"/>
  <c r="AX408" i="1"/>
  <c r="AX400" i="1"/>
  <c r="AX392" i="1"/>
  <c r="AX384" i="1"/>
  <c r="AX376" i="1"/>
  <c r="AX368" i="1"/>
  <c r="AX360" i="1"/>
  <c r="AX419" i="1"/>
  <c r="AX415" i="1"/>
  <c r="AX411" i="1"/>
  <c r="AX407" i="1"/>
  <c r="AX403" i="1"/>
  <c r="AX399" i="1"/>
  <c r="AX395" i="1"/>
  <c r="AX391" i="1"/>
  <c r="AX387" i="1"/>
  <c r="AX383" i="1"/>
  <c r="AX379" i="1"/>
  <c r="AX375" i="1"/>
  <c r="AX371" i="1"/>
  <c r="AX367" i="1"/>
  <c r="AX363" i="1"/>
  <c r="AX359" i="1"/>
  <c r="AX422" i="1"/>
  <c r="AX418" i="1"/>
  <c r="AX414" i="1"/>
  <c r="AX410" i="1"/>
  <c r="AX406" i="1"/>
  <c r="AX402" i="1"/>
  <c r="AX398" i="1"/>
  <c r="AX394" i="1"/>
  <c r="AX390" i="1"/>
  <c r="AX386" i="1"/>
  <c r="AX382" i="1"/>
  <c r="AX378" i="1"/>
  <c r="AX374" i="1"/>
  <c r="AX370" i="1"/>
  <c r="AX366" i="1"/>
  <c r="AX362" i="1"/>
  <c r="AX358" i="1"/>
  <c r="AX421" i="1"/>
  <c r="AX417" i="1"/>
  <c r="AX413" i="1"/>
  <c r="AX409" i="1"/>
  <c r="AX405" i="1"/>
  <c r="AX401" i="1"/>
  <c r="AX397" i="1"/>
  <c r="AX393" i="1"/>
  <c r="AX389" i="1"/>
  <c r="AX385" i="1"/>
  <c r="AX381" i="1"/>
  <c r="AX377" i="1"/>
  <c r="AX373" i="1"/>
  <c r="AX369" i="1"/>
  <c r="AX365" i="1"/>
  <c r="AX361" i="1"/>
  <c r="AX357" i="1"/>
  <c r="AP440" i="1" l="1"/>
  <c r="AO440" i="1"/>
  <c r="AN440" i="1"/>
  <c r="AK440" i="1"/>
  <c r="U440" i="1"/>
  <c r="R440" i="1"/>
  <c r="O440" i="1"/>
  <c r="L440" i="1"/>
  <c r="H440" i="1"/>
  <c r="F440" i="1"/>
  <c r="G440" i="1" s="1"/>
  <c r="AO439" i="1"/>
  <c r="AN439" i="1"/>
  <c r="AK439" i="1"/>
  <c r="U439" i="1"/>
  <c r="R439" i="1"/>
  <c r="O439" i="1"/>
  <c r="L439" i="1"/>
  <c r="H439" i="1"/>
  <c r="F439" i="1"/>
  <c r="G439" i="1" s="1"/>
  <c r="AO438" i="1"/>
  <c r="AN438" i="1"/>
  <c r="AK438" i="1"/>
  <c r="U438" i="1"/>
  <c r="R438" i="1"/>
  <c r="O438" i="1"/>
  <c r="L438" i="1"/>
  <c r="H438" i="1"/>
  <c r="F438" i="1"/>
  <c r="G438" i="1" s="1"/>
  <c r="AO445" i="1"/>
  <c r="AN445" i="1"/>
  <c r="AK445" i="1"/>
  <c r="U445" i="1"/>
  <c r="R445" i="1"/>
  <c r="O445" i="1"/>
  <c r="L445" i="1"/>
  <c r="H445" i="1"/>
  <c r="F445" i="1"/>
  <c r="G445" i="1" s="1"/>
  <c r="AO444" i="1"/>
  <c r="AN444" i="1"/>
  <c r="AK444" i="1"/>
  <c r="U444" i="1"/>
  <c r="R444" i="1"/>
  <c r="O444" i="1"/>
  <c r="L444" i="1"/>
  <c r="H444" i="1"/>
  <c r="F444" i="1"/>
  <c r="G444" i="1" s="1"/>
  <c r="AO443" i="1"/>
  <c r="AN443" i="1"/>
  <c r="AK443" i="1"/>
  <c r="U443" i="1"/>
  <c r="R443" i="1"/>
  <c r="O443" i="1"/>
  <c r="L443" i="1"/>
  <c r="H443" i="1"/>
  <c r="F443" i="1"/>
  <c r="G443" i="1" s="1"/>
  <c r="AO442" i="1"/>
  <c r="AN442" i="1"/>
  <c r="AK442" i="1"/>
  <c r="U442" i="1"/>
  <c r="R442" i="1"/>
  <c r="O442" i="1"/>
  <c r="L442" i="1"/>
  <c r="H442" i="1"/>
  <c r="F442" i="1"/>
  <c r="G442" i="1" s="1"/>
  <c r="AO441" i="1"/>
  <c r="AN441" i="1"/>
  <c r="AK441" i="1"/>
  <c r="U441" i="1"/>
  <c r="R441" i="1"/>
  <c r="O441" i="1"/>
  <c r="L441" i="1"/>
  <c r="H441" i="1"/>
  <c r="F441" i="1"/>
  <c r="G441" i="1" s="1"/>
  <c r="AO450" i="1"/>
  <c r="AN450" i="1"/>
  <c r="AL450" i="1"/>
  <c r="AK450" i="1"/>
  <c r="U450" i="1"/>
  <c r="R450" i="1"/>
  <c r="O450" i="1"/>
  <c r="L450" i="1"/>
  <c r="H450" i="1"/>
  <c r="F450" i="1"/>
  <c r="G450" i="1" s="1"/>
  <c r="AO449" i="1"/>
  <c r="AN449" i="1"/>
  <c r="AL449" i="1"/>
  <c r="AK449" i="1"/>
  <c r="U449" i="1"/>
  <c r="R449" i="1"/>
  <c r="O449" i="1"/>
  <c r="L449" i="1"/>
  <c r="H449" i="1"/>
  <c r="F449" i="1"/>
  <c r="G449" i="1" s="1"/>
  <c r="AO448" i="1"/>
  <c r="AN448" i="1"/>
  <c r="AL448" i="1"/>
  <c r="AK448" i="1"/>
  <c r="U448" i="1"/>
  <c r="R448" i="1"/>
  <c r="O448" i="1"/>
  <c r="L448" i="1"/>
  <c r="H448" i="1"/>
  <c r="D448" i="1"/>
  <c r="F448" i="1" s="1"/>
  <c r="G448" i="1" s="1"/>
  <c r="AO447" i="1"/>
  <c r="AN447" i="1"/>
  <c r="AL447" i="1"/>
  <c r="AK447" i="1"/>
  <c r="U447" i="1"/>
  <c r="R447" i="1"/>
  <c r="O447" i="1"/>
  <c r="L447" i="1"/>
  <c r="H447" i="1"/>
  <c r="F447" i="1"/>
  <c r="G447" i="1" s="1"/>
  <c r="AO446" i="1"/>
  <c r="AN446" i="1"/>
  <c r="AK446" i="1"/>
  <c r="U446" i="1"/>
  <c r="R446" i="1"/>
  <c r="O446" i="1"/>
  <c r="L446" i="1"/>
  <c r="H446" i="1"/>
  <c r="F446" i="1"/>
  <c r="G446" i="1" s="1"/>
  <c r="AJ450" i="1" l="1"/>
  <c r="AJ444" i="1"/>
  <c r="AJ440" i="1"/>
  <c r="AJ449" i="1"/>
  <c r="AJ441" i="1"/>
  <c r="AJ445" i="1"/>
  <c r="AJ447" i="1"/>
  <c r="AJ448" i="1"/>
  <c r="AJ443" i="1"/>
  <c r="AJ439" i="1"/>
  <c r="AJ446" i="1"/>
  <c r="AJ442" i="1"/>
  <c r="AJ438" i="1"/>
  <c r="AX453" i="1" l="1"/>
  <c r="AX454" i="1"/>
  <c r="AX455" i="1"/>
  <c r="AX451" i="1" l="1"/>
  <c r="AX452" i="1"/>
  <c r="AX424" i="1" l="1"/>
  <c r="AX428" i="1"/>
  <c r="AX430" i="1"/>
  <c r="AX434" i="1"/>
  <c r="AX436" i="1"/>
  <c r="AX438" i="1"/>
  <c r="AX440" i="1"/>
  <c r="AX450" i="1"/>
  <c r="AX432" i="1" l="1"/>
  <c r="AX426" i="1"/>
  <c r="AX439" i="1"/>
  <c r="AX437" i="1"/>
  <c r="AX435" i="1"/>
  <c r="AX433" i="1"/>
  <c r="AX431" i="1"/>
  <c r="AX429" i="1"/>
  <c r="AX427" i="1"/>
  <c r="AX425" i="1"/>
  <c r="AX423" i="1"/>
  <c r="AX449" i="1"/>
  <c r="AX446" i="1"/>
  <c r="AX443" i="1"/>
  <c r="AX447" i="1"/>
  <c r="AX444" i="1"/>
  <c r="AX441" i="1"/>
  <c r="AX448" i="1"/>
  <c r="AX445" i="1"/>
  <c r="AX442" i="1"/>
  <c r="AP437" i="1" l="1"/>
  <c r="AO437" i="1"/>
  <c r="AN437" i="1"/>
  <c r="AK437" i="1"/>
  <c r="U437" i="1"/>
  <c r="R437" i="1"/>
  <c r="O437" i="1"/>
  <c r="L437" i="1"/>
  <c r="H437" i="1"/>
  <c r="F437" i="1"/>
  <c r="G437" i="1" s="1"/>
  <c r="AO436" i="1"/>
  <c r="AN436" i="1"/>
  <c r="AK436" i="1"/>
  <c r="U436" i="1"/>
  <c r="R436" i="1"/>
  <c r="O436" i="1"/>
  <c r="L436" i="1"/>
  <c r="H436" i="1"/>
  <c r="F436" i="1"/>
  <c r="G436" i="1" s="1"/>
  <c r="AO435" i="1"/>
  <c r="AN435" i="1"/>
  <c r="AK435" i="1"/>
  <c r="U435" i="1"/>
  <c r="R435" i="1"/>
  <c r="O435" i="1"/>
  <c r="L435" i="1"/>
  <c r="H435" i="1"/>
  <c r="F435" i="1"/>
  <c r="G435" i="1" s="1"/>
  <c r="AO434" i="1"/>
  <c r="AN434" i="1"/>
  <c r="AK434" i="1"/>
  <c r="U434" i="1"/>
  <c r="R434" i="1"/>
  <c r="O434" i="1"/>
  <c r="L434" i="1"/>
  <c r="H434" i="1"/>
  <c r="F434" i="1"/>
  <c r="G434" i="1" s="1"/>
  <c r="AP433" i="1"/>
  <c r="AO433" i="1"/>
  <c r="AN433" i="1"/>
  <c r="AK433" i="1"/>
  <c r="U433" i="1"/>
  <c r="R433" i="1"/>
  <c r="O433" i="1"/>
  <c r="L433" i="1"/>
  <c r="H433" i="1"/>
  <c r="F433" i="1"/>
  <c r="G433" i="1" s="1"/>
  <c r="AO432" i="1"/>
  <c r="AN432" i="1"/>
  <c r="AK432" i="1"/>
  <c r="U432" i="1"/>
  <c r="R432" i="1"/>
  <c r="O432" i="1"/>
  <c r="L432" i="1"/>
  <c r="H432" i="1"/>
  <c r="F432" i="1"/>
  <c r="G432" i="1" s="1"/>
  <c r="AO431" i="1"/>
  <c r="AN431" i="1"/>
  <c r="AK431" i="1"/>
  <c r="U431" i="1"/>
  <c r="R431" i="1"/>
  <c r="O431" i="1"/>
  <c r="L431" i="1"/>
  <c r="H431" i="1"/>
  <c r="F431" i="1"/>
  <c r="G431" i="1" s="1"/>
  <c r="AO430" i="1"/>
  <c r="AN430" i="1"/>
  <c r="AK430" i="1"/>
  <c r="U430" i="1"/>
  <c r="R430" i="1"/>
  <c r="O430" i="1"/>
  <c r="L430" i="1"/>
  <c r="H430" i="1"/>
  <c r="F430" i="1"/>
  <c r="G430" i="1" s="1"/>
  <c r="AO429" i="1"/>
  <c r="AN429" i="1"/>
  <c r="AK429" i="1"/>
  <c r="U429" i="1"/>
  <c r="R429" i="1"/>
  <c r="O429" i="1"/>
  <c r="L429" i="1"/>
  <c r="H429" i="1"/>
  <c r="F429" i="1"/>
  <c r="G429" i="1" s="1"/>
  <c r="AO428" i="1"/>
  <c r="AN428" i="1"/>
  <c r="AK428" i="1"/>
  <c r="U428" i="1"/>
  <c r="R428" i="1"/>
  <c r="O428" i="1"/>
  <c r="L428" i="1"/>
  <c r="H428" i="1"/>
  <c r="C428" i="1"/>
  <c r="F428" i="1" s="1"/>
  <c r="G428" i="1" s="1"/>
  <c r="AO427" i="1"/>
  <c r="AN427" i="1"/>
  <c r="AK427" i="1"/>
  <c r="U427" i="1"/>
  <c r="T427" i="1"/>
  <c r="O427" i="1"/>
  <c r="L427" i="1"/>
  <c r="H427" i="1"/>
  <c r="F427" i="1"/>
  <c r="G427" i="1" s="1"/>
  <c r="AO426" i="1"/>
  <c r="AN426" i="1"/>
  <c r="AK426" i="1"/>
  <c r="U426" i="1"/>
  <c r="T426" i="1"/>
  <c r="O426" i="1"/>
  <c r="L426" i="1"/>
  <c r="H426" i="1"/>
  <c r="F426" i="1"/>
  <c r="G426" i="1" s="1"/>
  <c r="AO425" i="1"/>
  <c r="AN425" i="1"/>
  <c r="AK425" i="1"/>
  <c r="U425" i="1"/>
  <c r="T425" i="1"/>
  <c r="O425" i="1"/>
  <c r="L425" i="1"/>
  <c r="H425" i="1"/>
  <c r="F425" i="1"/>
  <c r="G425" i="1" s="1"/>
  <c r="AO424" i="1"/>
  <c r="AN424" i="1"/>
  <c r="AK424" i="1"/>
  <c r="U424" i="1"/>
  <c r="T424" i="1"/>
  <c r="O424" i="1"/>
  <c r="L424" i="1"/>
  <c r="H424" i="1"/>
  <c r="B424" i="1"/>
  <c r="F424" i="1" s="1"/>
  <c r="G424" i="1" s="1"/>
  <c r="AO423" i="1"/>
  <c r="AN423" i="1"/>
  <c r="AK423" i="1"/>
  <c r="U423" i="1"/>
  <c r="T423" i="1"/>
  <c r="O423" i="1"/>
  <c r="L423" i="1"/>
  <c r="H423" i="1"/>
  <c r="F423" i="1"/>
  <c r="G423" i="1" s="1"/>
  <c r="AO422" i="1"/>
  <c r="AN422" i="1"/>
  <c r="AK422" i="1"/>
  <c r="U422" i="1"/>
  <c r="T422" i="1"/>
  <c r="O422" i="1"/>
  <c r="L422" i="1"/>
  <c r="H422" i="1"/>
  <c r="F422" i="1"/>
  <c r="G422" i="1" s="1"/>
  <c r="AO421" i="1"/>
  <c r="AN421" i="1"/>
  <c r="AK421" i="1"/>
  <c r="U421" i="1"/>
  <c r="T421" i="1"/>
  <c r="O421" i="1"/>
  <c r="L421" i="1"/>
  <c r="H421" i="1"/>
  <c r="F421" i="1"/>
  <c r="G421" i="1" s="1"/>
  <c r="AO420" i="1"/>
  <c r="AN420" i="1"/>
  <c r="AK420" i="1"/>
  <c r="U420" i="1"/>
  <c r="T420" i="1"/>
  <c r="O420" i="1"/>
  <c r="L420" i="1"/>
  <c r="H420" i="1"/>
  <c r="F420" i="1"/>
  <c r="G420" i="1" s="1"/>
  <c r="AO419" i="1"/>
  <c r="AN419" i="1"/>
  <c r="AK419" i="1"/>
  <c r="U419" i="1"/>
  <c r="T419" i="1"/>
  <c r="O419" i="1"/>
  <c r="L419" i="1"/>
  <c r="H419" i="1"/>
  <c r="F419" i="1"/>
  <c r="G419" i="1" s="1"/>
  <c r="AO418" i="1"/>
  <c r="AN418" i="1"/>
  <c r="AK418" i="1"/>
  <c r="U418" i="1"/>
  <c r="T418" i="1"/>
  <c r="O418" i="1"/>
  <c r="L418" i="1"/>
  <c r="H418" i="1"/>
  <c r="F418" i="1"/>
  <c r="G418" i="1" s="1"/>
  <c r="AJ432" i="1" l="1"/>
  <c r="AJ423" i="1"/>
  <c r="AJ424" i="1"/>
  <c r="AJ433" i="1"/>
  <c r="AJ428" i="1"/>
  <c r="AJ437" i="1"/>
  <c r="AJ419" i="1"/>
  <c r="AJ429" i="1"/>
  <c r="AJ434" i="1"/>
  <c r="AJ418" i="1"/>
  <c r="AJ427" i="1"/>
  <c r="AJ422" i="1"/>
  <c r="AJ431" i="1"/>
  <c r="AJ436" i="1"/>
  <c r="AJ426" i="1"/>
  <c r="AJ430" i="1"/>
  <c r="AJ435" i="1"/>
  <c r="AJ421" i="1"/>
  <c r="AJ420" i="1"/>
  <c r="AJ425" i="1"/>
  <c r="AO398" i="1" l="1"/>
  <c r="AN398" i="1"/>
  <c r="AK398" i="1"/>
  <c r="U398" i="1"/>
  <c r="O398" i="1"/>
  <c r="L398" i="1"/>
  <c r="H398" i="1"/>
  <c r="F398" i="1"/>
  <c r="G398" i="1" s="1"/>
  <c r="AO397" i="1"/>
  <c r="AN397" i="1"/>
  <c r="AK397" i="1"/>
  <c r="U397" i="1"/>
  <c r="O397" i="1"/>
  <c r="L397" i="1"/>
  <c r="H397" i="1"/>
  <c r="F397" i="1"/>
  <c r="G397" i="1" s="1"/>
  <c r="AO396" i="1"/>
  <c r="AN396" i="1"/>
  <c r="AK396" i="1"/>
  <c r="U396" i="1"/>
  <c r="O396" i="1"/>
  <c r="L396" i="1"/>
  <c r="H396" i="1"/>
  <c r="F396" i="1"/>
  <c r="G396" i="1" s="1"/>
  <c r="AP395" i="1"/>
  <c r="AO395" i="1"/>
  <c r="AN395" i="1"/>
  <c r="AK395" i="1"/>
  <c r="U395" i="1"/>
  <c r="O395" i="1"/>
  <c r="L395" i="1"/>
  <c r="H395" i="1"/>
  <c r="F395" i="1"/>
  <c r="G395" i="1" s="1"/>
  <c r="AO403" i="1"/>
  <c r="AN403" i="1"/>
  <c r="AK403" i="1"/>
  <c r="U403" i="1"/>
  <c r="O403" i="1"/>
  <c r="L403" i="1"/>
  <c r="I403" i="1"/>
  <c r="H403" i="1" s="1"/>
  <c r="F403" i="1"/>
  <c r="G403" i="1" s="1"/>
  <c r="AO402" i="1"/>
  <c r="AN402" i="1"/>
  <c r="AK402" i="1"/>
  <c r="U402" i="1"/>
  <c r="O402" i="1"/>
  <c r="L402" i="1"/>
  <c r="H402" i="1"/>
  <c r="F402" i="1"/>
  <c r="G402" i="1" s="1"/>
  <c r="AO401" i="1"/>
  <c r="AN401" i="1"/>
  <c r="AK401" i="1"/>
  <c r="U401" i="1"/>
  <c r="O401" i="1"/>
  <c r="L401" i="1"/>
  <c r="H401" i="1"/>
  <c r="F401" i="1"/>
  <c r="G401" i="1" s="1"/>
  <c r="AO400" i="1"/>
  <c r="AN400" i="1"/>
  <c r="AK400" i="1"/>
  <c r="U400" i="1"/>
  <c r="O400" i="1"/>
  <c r="L400" i="1"/>
  <c r="H400" i="1"/>
  <c r="F400" i="1"/>
  <c r="G400" i="1" s="1"/>
  <c r="AO399" i="1"/>
  <c r="AN399" i="1"/>
  <c r="AK399" i="1"/>
  <c r="U399" i="1"/>
  <c r="O399" i="1"/>
  <c r="L399" i="1"/>
  <c r="H399" i="1"/>
  <c r="B399" i="1"/>
  <c r="F399" i="1" s="1"/>
  <c r="G399" i="1" s="1"/>
  <c r="AO408" i="1"/>
  <c r="AN408" i="1"/>
  <c r="AK408" i="1"/>
  <c r="U408" i="1"/>
  <c r="R408" i="1"/>
  <c r="O408" i="1"/>
  <c r="L408" i="1"/>
  <c r="H408" i="1"/>
  <c r="F408" i="1"/>
  <c r="G408" i="1" s="1"/>
  <c r="AO407" i="1"/>
  <c r="AN407" i="1"/>
  <c r="AK407" i="1"/>
  <c r="U407" i="1"/>
  <c r="O407" i="1"/>
  <c r="L407" i="1"/>
  <c r="H407" i="1"/>
  <c r="F407" i="1"/>
  <c r="G407" i="1" s="1"/>
  <c r="AO406" i="1"/>
  <c r="AN406" i="1"/>
  <c r="AK406" i="1"/>
  <c r="U406" i="1"/>
  <c r="O406" i="1"/>
  <c r="L406" i="1"/>
  <c r="H406" i="1"/>
  <c r="F406" i="1"/>
  <c r="G406" i="1" s="1"/>
  <c r="AO405" i="1"/>
  <c r="AN405" i="1"/>
  <c r="AK405" i="1"/>
  <c r="U405" i="1"/>
  <c r="O405" i="1"/>
  <c r="L405" i="1"/>
  <c r="H405" i="1"/>
  <c r="B405" i="1"/>
  <c r="F405" i="1" s="1"/>
  <c r="G405" i="1" s="1"/>
  <c r="AO404" i="1"/>
  <c r="AN404" i="1"/>
  <c r="AK404" i="1"/>
  <c r="U404" i="1"/>
  <c r="O404" i="1"/>
  <c r="L404" i="1"/>
  <c r="H404" i="1"/>
  <c r="F404" i="1"/>
  <c r="G404" i="1" s="1"/>
  <c r="AO413" i="1"/>
  <c r="AN413" i="1"/>
  <c r="AK413" i="1"/>
  <c r="U413" i="1"/>
  <c r="O413" i="1"/>
  <c r="L413" i="1"/>
  <c r="H413" i="1"/>
  <c r="F413" i="1"/>
  <c r="G413" i="1" s="1"/>
  <c r="AO412" i="1"/>
  <c r="AN412" i="1"/>
  <c r="AK412" i="1"/>
  <c r="U412" i="1"/>
  <c r="O412" i="1"/>
  <c r="L412" i="1"/>
  <c r="H412" i="1"/>
  <c r="F412" i="1"/>
  <c r="G412" i="1" s="1"/>
  <c r="AO411" i="1"/>
  <c r="AN411" i="1"/>
  <c r="AK411" i="1"/>
  <c r="U411" i="1"/>
  <c r="O411" i="1"/>
  <c r="L411" i="1"/>
  <c r="H411" i="1"/>
  <c r="F411" i="1"/>
  <c r="G411" i="1" s="1"/>
  <c r="AO410" i="1"/>
  <c r="AN410" i="1"/>
  <c r="AK410" i="1"/>
  <c r="U410" i="1"/>
  <c r="O410" i="1"/>
  <c r="L410" i="1"/>
  <c r="H410" i="1"/>
  <c r="F410" i="1"/>
  <c r="G410" i="1" s="1"/>
  <c r="AO409" i="1"/>
  <c r="AN409" i="1"/>
  <c r="AK409" i="1"/>
  <c r="U409" i="1"/>
  <c r="O409" i="1"/>
  <c r="L409" i="1"/>
  <c r="H409" i="1"/>
  <c r="F409" i="1"/>
  <c r="G409" i="1" s="1"/>
  <c r="AO417" i="1"/>
  <c r="AN417" i="1"/>
  <c r="AK417" i="1"/>
  <c r="U417" i="1"/>
  <c r="O417" i="1"/>
  <c r="L417" i="1"/>
  <c r="H417" i="1"/>
  <c r="F417" i="1"/>
  <c r="G417" i="1" s="1"/>
  <c r="AO416" i="1"/>
  <c r="AN416" i="1"/>
  <c r="AK416" i="1"/>
  <c r="U416" i="1"/>
  <c r="O416" i="1"/>
  <c r="L416" i="1"/>
  <c r="H416" i="1"/>
  <c r="F416" i="1"/>
  <c r="G416" i="1" s="1"/>
  <c r="AO415" i="1"/>
  <c r="AN415" i="1"/>
  <c r="AK415" i="1"/>
  <c r="U415" i="1"/>
  <c r="O415" i="1"/>
  <c r="L415" i="1"/>
  <c r="H415" i="1"/>
  <c r="F415" i="1"/>
  <c r="G415" i="1" s="1"/>
  <c r="AO414" i="1"/>
  <c r="AN414" i="1"/>
  <c r="AK414" i="1"/>
  <c r="U414" i="1"/>
  <c r="O414" i="1"/>
  <c r="L414" i="1"/>
  <c r="H414" i="1"/>
  <c r="B414" i="1"/>
  <c r="F414" i="1" s="1"/>
  <c r="G414" i="1" s="1"/>
  <c r="AJ397" i="1" l="1"/>
  <c r="AJ398" i="1"/>
  <c r="AJ416" i="1"/>
  <c r="AJ414" i="1"/>
  <c r="AJ415" i="1"/>
  <c r="AJ408" i="1"/>
  <c r="AJ399" i="1"/>
  <c r="AJ400" i="1"/>
  <c r="AJ401" i="1"/>
  <c r="AJ402" i="1"/>
  <c r="AJ403" i="1"/>
  <c r="AJ417" i="1"/>
  <c r="AJ396" i="1"/>
  <c r="AJ409" i="1"/>
  <c r="AJ410" i="1"/>
  <c r="AJ405" i="1"/>
  <c r="AJ406" i="1"/>
  <c r="AJ407" i="1"/>
  <c r="AJ395" i="1"/>
  <c r="AJ411" i="1"/>
  <c r="AJ412" i="1"/>
  <c r="AJ413" i="1"/>
  <c r="AJ404" i="1"/>
  <c r="AP394" i="1"/>
  <c r="AO394" i="1"/>
  <c r="AN394" i="1"/>
  <c r="AK394" i="1"/>
  <c r="H394" i="1"/>
  <c r="AJ394" i="1" s="1"/>
  <c r="B394" i="1"/>
  <c r="F394" i="1" s="1"/>
  <c r="G394" i="1" s="1"/>
  <c r="AO393" i="1"/>
  <c r="AN393" i="1"/>
  <c r="AK393" i="1"/>
  <c r="O393" i="1"/>
  <c r="H393" i="1"/>
  <c r="F393" i="1"/>
  <c r="G393" i="1" s="1"/>
  <c r="AO392" i="1"/>
  <c r="AN392" i="1"/>
  <c r="AK392" i="1"/>
  <c r="H392" i="1"/>
  <c r="AJ392" i="1" s="1"/>
  <c r="F392" i="1"/>
  <c r="G392" i="1" s="1"/>
  <c r="AO391" i="1"/>
  <c r="AN391" i="1"/>
  <c r="AK391" i="1"/>
  <c r="O391" i="1"/>
  <c r="H391" i="1"/>
  <c r="F391" i="1"/>
  <c r="G391" i="1" s="1"/>
  <c r="AO390" i="1"/>
  <c r="AN390" i="1"/>
  <c r="AK390" i="1"/>
  <c r="H390" i="1"/>
  <c r="AJ390" i="1" s="1"/>
  <c r="F390" i="1"/>
  <c r="G390" i="1" s="1"/>
  <c r="AO389" i="1"/>
  <c r="AN389" i="1"/>
  <c r="AK389" i="1"/>
  <c r="O389" i="1"/>
  <c r="H389" i="1"/>
  <c r="F389" i="1"/>
  <c r="G389" i="1" s="1"/>
  <c r="AO388" i="1"/>
  <c r="AN388" i="1"/>
  <c r="AK388" i="1"/>
  <c r="H388" i="1"/>
  <c r="AJ388" i="1" s="1"/>
  <c r="F388" i="1"/>
  <c r="G388" i="1" s="1"/>
  <c r="AO387" i="1"/>
  <c r="AN387" i="1"/>
  <c r="AK387" i="1"/>
  <c r="H387" i="1"/>
  <c r="AJ387" i="1" s="1"/>
  <c r="F387" i="1"/>
  <c r="G387" i="1" s="1"/>
  <c r="AO386" i="1"/>
  <c r="AN386" i="1"/>
  <c r="AK386" i="1"/>
  <c r="O386" i="1"/>
  <c r="H386" i="1"/>
  <c r="F386" i="1"/>
  <c r="G386" i="1" s="1"/>
  <c r="AO385" i="1"/>
  <c r="AN385" i="1"/>
  <c r="AK385" i="1"/>
  <c r="O385" i="1"/>
  <c r="H385" i="1"/>
  <c r="F385" i="1"/>
  <c r="G385" i="1" s="1"/>
  <c r="AO384" i="1"/>
  <c r="AN384" i="1"/>
  <c r="AK384" i="1"/>
  <c r="O384" i="1"/>
  <c r="H384" i="1"/>
  <c r="F384" i="1"/>
  <c r="G384" i="1" s="1"/>
  <c r="AO383" i="1"/>
  <c r="AN383" i="1"/>
  <c r="AK383" i="1"/>
  <c r="O383" i="1"/>
  <c r="H383" i="1"/>
  <c r="F383" i="1"/>
  <c r="G383" i="1" s="1"/>
  <c r="AO382" i="1"/>
  <c r="AN382" i="1"/>
  <c r="AK382" i="1"/>
  <c r="O382" i="1"/>
  <c r="H382" i="1"/>
  <c r="B382" i="1"/>
  <c r="F382" i="1" s="1"/>
  <c r="G382" i="1" s="1"/>
  <c r="AO381" i="1"/>
  <c r="AN381" i="1"/>
  <c r="AK381" i="1"/>
  <c r="O381" i="1"/>
  <c r="H381" i="1"/>
  <c r="F381" i="1"/>
  <c r="G381" i="1" s="1"/>
  <c r="AO380" i="1"/>
  <c r="AN380" i="1"/>
  <c r="AK380" i="1"/>
  <c r="O380" i="1"/>
  <c r="H380" i="1"/>
  <c r="F380" i="1"/>
  <c r="G380" i="1" s="1"/>
  <c r="AJ380" i="1" l="1"/>
  <c r="AJ384" i="1"/>
  <c r="AJ382" i="1"/>
  <c r="AJ386" i="1"/>
  <c r="AJ389" i="1"/>
  <c r="AJ393" i="1"/>
  <c r="AJ383" i="1"/>
  <c r="AJ385" i="1"/>
  <c r="AJ391" i="1"/>
  <c r="AJ381" i="1"/>
  <c r="AO379" i="1" l="1"/>
  <c r="AN379" i="1"/>
  <c r="AK379" i="1"/>
  <c r="U379" i="1"/>
  <c r="O379" i="1"/>
  <c r="L379" i="1"/>
  <c r="H379" i="1"/>
  <c r="F379" i="1"/>
  <c r="G379" i="1" s="1"/>
  <c r="AO378" i="1"/>
  <c r="AN378" i="1"/>
  <c r="AK378" i="1"/>
  <c r="U378" i="1"/>
  <c r="O378" i="1"/>
  <c r="L378" i="1"/>
  <c r="H378" i="1"/>
  <c r="F378" i="1"/>
  <c r="G378" i="1" s="1"/>
  <c r="AO377" i="1"/>
  <c r="AN377" i="1"/>
  <c r="AK377" i="1"/>
  <c r="U377" i="1"/>
  <c r="O377" i="1"/>
  <c r="L377" i="1"/>
  <c r="H377" i="1"/>
  <c r="F377" i="1"/>
  <c r="G377" i="1" s="1"/>
  <c r="AO376" i="1"/>
  <c r="AN376" i="1"/>
  <c r="AK376" i="1"/>
  <c r="U376" i="1"/>
  <c r="O376" i="1"/>
  <c r="L376" i="1"/>
  <c r="H376" i="1"/>
  <c r="F376" i="1"/>
  <c r="G376" i="1" s="1"/>
  <c r="AO375" i="1"/>
  <c r="AN375" i="1"/>
  <c r="AK375" i="1"/>
  <c r="U375" i="1"/>
  <c r="R375" i="1"/>
  <c r="Q375" i="1"/>
  <c r="O375" i="1" s="1"/>
  <c r="L375" i="1"/>
  <c r="H375" i="1"/>
  <c r="F375" i="1"/>
  <c r="G375" i="1" s="1"/>
  <c r="AO374" i="1"/>
  <c r="AN374" i="1"/>
  <c r="AK374" i="1"/>
  <c r="U374" i="1"/>
  <c r="O374" i="1"/>
  <c r="H374" i="1"/>
  <c r="F374" i="1"/>
  <c r="G374" i="1" s="1"/>
  <c r="AO373" i="1"/>
  <c r="AN373" i="1"/>
  <c r="AK373" i="1"/>
  <c r="U373" i="1"/>
  <c r="O373" i="1"/>
  <c r="L373" i="1"/>
  <c r="H373" i="1"/>
  <c r="F373" i="1"/>
  <c r="G373" i="1" s="1"/>
  <c r="AO372" i="1"/>
  <c r="AN372" i="1"/>
  <c r="AK372" i="1"/>
  <c r="U372" i="1"/>
  <c r="O372" i="1"/>
  <c r="L372" i="1"/>
  <c r="H372" i="1"/>
  <c r="F372" i="1"/>
  <c r="G372" i="1" s="1"/>
  <c r="AO371" i="1"/>
  <c r="AN371" i="1"/>
  <c r="AK371" i="1"/>
  <c r="U371" i="1"/>
  <c r="O371" i="1"/>
  <c r="L371" i="1"/>
  <c r="H371" i="1"/>
  <c r="F371" i="1"/>
  <c r="G371" i="1" s="1"/>
  <c r="AN370" i="1"/>
  <c r="AM370" i="1"/>
  <c r="AO370" i="1" s="1"/>
  <c r="AK370" i="1"/>
  <c r="O370" i="1"/>
  <c r="L370" i="1"/>
  <c r="H370" i="1"/>
  <c r="F370" i="1"/>
  <c r="G370" i="1" s="1"/>
  <c r="AO369" i="1"/>
  <c r="AN369" i="1"/>
  <c r="AK369" i="1"/>
  <c r="O369" i="1"/>
  <c r="L369" i="1"/>
  <c r="J369" i="1"/>
  <c r="F369" i="1"/>
  <c r="G369" i="1" s="1"/>
  <c r="AO368" i="1"/>
  <c r="AN368" i="1"/>
  <c r="AK368" i="1"/>
  <c r="U368" i="1"/>
  <c r="O368" i="1"/>
  <c r="L368" i="1"/>
  <c r="H368" i="1"/>
  <c r="F368" i="1"/>
  <c r="G368" i="1" s="1"/>
  <c r="AO367" i="1"/>
  <c r="AN367" i="1"/>
  <c r="AK367" i="1"/>
  <c r="U367" i="1"/>
  <c r="O367" i="1"/>
  <c r="L367" i="1"/>
  <c r="H367" i="1"/>
  <c r="F367" i="1"/>
  <c r="G367" i="1" s="1"/>
  <c r="AO366" i="1"/>
  <c r="AN366" i="1"/>
  <c r="AK366" i="1"/>
  <c r="U366" i="1"/>
  <c r="O366" i="1"/>
  <c r="L366" i="1"/>
  <c r="H366" i="1"/>
  <c r="F366" i="1"/>
  <c r="G366" i="1" s="1"/>
  <c r="AO365" i="1"/>
  <c r="AN365" i="1"/>
  <c r="AK365" i="1"/>
  <c r="U365" i="1"/>
  <c r="O365" i="1"/>
  <c r="L365" i="1"/>
  <c r="H365" i="1"/>
  <c r="F365" i="1"/>
  <c r="G365" i="1" s="1"/>
  <c r="AO364" i="1"/>
  <c r="AN364" i="1"/>
  <c r="AK364" i="1"/>
  <c r="U364" i="1"/>
  <c r="O364" i="1"/>
  <c r="L364" i="1"/>
  <c r="H364" i="1"/>
  <c r="F364" i="1"/>
  <c r="G364" i="1" s="1"/>
  <c r="AO363" i="1"/>
  <c r="AN363" i="1"/>
  <c r="AK363" i="1"/>
  <c r="U363" i="1"/>
  <c r="O363" i="1"/>
  <c r="L363" i="1"/>
  <c r="H363" i="1"/>
  <c r="F363" i="1"/>
  <c r="G363" i="1" s="1"/>
  <c r="AO362" i="1"/>
  <c r="AN362" i="1"/>
  <c r="AK362" i="1"/>
  <c r="O362" i="1"/>
  <c r="L362" i="1"/>
  <c r="H362" i="1"/>
  <c r="F362" i="1"/>
  <c r="G362" i="1" s="1"/>
  <c r="AO361" i="1"/>
  <c r="AN361" i="1"/>
  <c r="AK361" i="1"/>
  <c r="O361" i="1"/>
  <c r="L361" i="1"/>
  <c r="H361" i="1"/>
  <c r="F361" i="1"/>
  <c r="G361" i="1" s="1"/>
  <c r="AO360" i="1"/>
  <c r="AN360" i="1"/>
  <c r="AK360" i="1"/>
  <c r="O360" i="1"/>
  <c r="L360" i="1"/>
  <c r="H360" i="1"/>
  <c r="F360" i="1"/>
  <c r="G360" i="1" s="1"/>
  <c r="AJ374" i="1" l="1"/>
  <c r="AJ369" i="1"/>
  <c r="AJ370" i="1"/>
  <c r="AJ371" i="1"/>
  <c r="AJ360" i="1"/>
  <c r="AJ379" i="1"/>
  <c r="AJ375" i="1"/>
  <c r="AJ364" i="1"/>
  <c r="AJ367" i="1"/>
  <c r="AJ361" i="1"/>
  <c r="AJ377" i="1"/>
  <c r="AJ378" i="1"/>
  <c r="AJ362" i="1"/>
  <c r="AJ365" i="1"/>
  <c r="AJ368" i="1"/>
  <c r="AJ366" i="1"/>
  <c r="AJ373" i="1"/>
  <c r="AJ363" i="1"/>
  <c r="AJ372" i="1"/>
  <c r="AJ376" i="1"/>
  <c r="AO359" i="1" l="1"/>
  <c r="AN359" i="1"/>
  <c r="W359" i="1"/>
  <c r="AJ359" i="1" s="1"/>
  <c r="Q359" i="1"/>
  <c r="N359" i="1"/>
  <c r="F359" i="1"/>
  <c r="G359" i="1" s="1"/>
  <c r="AO358" i="1"/>
  <c r="AN358" i="1"/>
  <c r="U358" i="1"/>
  <c r="L358" i="1"/>
  <c r="H358" i="1"/>
  <c r="F358" i="1"/>
  <c r="G358" i="1" s="1"/>
  <c r="AO357" i="1"/>
  <c r="AN357" i="1"/>
  <c r="U357" i="1"/>
  <c r="L357" i="1"/>
  <c r="H357" i="1"/>
  <c r="F357" i="1"/>
  <c r="G357" i="1" s="1"/>
  <c r="AO356" i="1"/>
  <c r="AN356" i="1"/>
  <c r="U356" i="1"/>
  <c r="L356" i="1"/>
  <c r="H356" i="1"/>
  <c r="F356" i="1"/>
  <c r="G356" i="1" s="1"/>
  <c r="AO355" i="1"/>
  <c r="AN355" i="1"/>
  <c r="U355" i="1"/>
  <c r="O355" i="1"/>
  <c r="H355" i="1"/>
  <c r="F355" i="1"/>
  <c r="G355" i="1" s="1"/>
  <c r="AP354" i="1"/>
  <c r="AO354" i="1"/>
  <c r="AN354" i="1"/>
  <c r="U354" i="1"/>
  <c r="O354" i="1"/>
  <c r="L354" i="1"/>
  <c r="H354" i="1"/>
  <c r="F354" i="1"/>
  <c r="G354" i="1" s="1"/>
  <c r="AO353" i="1"/>
  <c r="AN353" i="1"/>
  <c r="U353" i="1"/>
  <c r="O353" i="1"/>
  <c r="L353" i="1"/>
  <c r="H353" i="1"/>
  <c r="F353" i="1"/>
  <c r="G353" i="1" s="1"/>
  <c r="AO352" i="1"/>
  <c r="AN352" i="1"/>
  <c r="U352" i="1"/>
  <c r="O352" i="1"/>
  <c r="L352" i="1"/>
  <c r="H352" i="1"/>
  <c r="F352" i="1"/>
  <c r="G352" i="1" s="1"/>
  <c r="AO351" i="1"/>
  <c r="AN351" i="1"/>
  <c r="U351" i="1"/>
  <c r="O351" i="1"/>
  <c r="L351" i="1"/>
  <c r="H351" i="1"/>
  <c r="F351" i="1"/>
  <c r="G351" i="1" s="1"/>
  <c r="AO350" i="1"/>
  <c r="AN350" i="1"/>
  <c r="U350" i="1"/>
  <c r="O350" i="1"/>
  <c r="L350" i="1"/>
  <c r="H350" i="1"/>
  <c r="F350" i="1"/>
  <c r="G350" i="1" s="1"/>
  <c r="AO349" i="1"/>
  <c r="AN349" i="1"/>
  <c r="U349" i="1"/>
  <c r="O349" i="1"/>
  <c r="L349" i="1"/>
  <c r="H349" i="1"/>
  <c r="F349" i="1"/>
  <c r="G349" i="1" s="1"/>
  <c r="AO348" i="1"/>
  <c r="AN348" i="1"/>
  <c r="U348" i="1"/>
  <c r="O348" i="1"/>
  <c r="L348" i="1"/>
  <c r="H348" i="1"/>
  <c r="F348" i="1"/>
  <c r="G348" i="1" s="1"/>
  <c r="AO347" i="1"/>
  <c r="AN347" i="1"/>
  <c r="U347" i="1"/>
  <c r="O347" i="1"/>
  <c r="L347" i="1"/>
  <c r="H347" i="1"/>
  <c r="F347" i="1"/>
  <c r="G347" i="1" s="1"/>
  <c r="AO346" i="1"/>
  <c r="AN346" i="1"/>
  <c r="U346" i="1"/>
  <c r="O346" i="1"/>
  <c r="L346" i="1"/>
  <c r="H346" i="1"/>
  <c r="F346" i="1"/>
  <c r="G346" i="1" s="1"/>
  <c r="AO345" i="1"/>
  <c r="AN345" i="1"/>
  <c r="U345" i="1"/>
  <c r="O345" i="1"/>
  <c r="L345" i="1"/>
  <c r="H345" i="1"/>
  <c r="F345" i="1"/>
  <c r="G345" i="1" s="1"/>
  <c r="AO344" i="1"/>
  <c r="AN344" i="1"/>
  <c r="U344" i="1"/>
  <c r="O344" i="1"/>
  <c r="L344" i="1"/>
  <c r="H344" i="1"/>
  <c r="F344" i="1"/>
  <c r="G344" i="1" s="1"/>
  <c r="AO343" i="1"/>
  <c r="AN343" i="1"/>
  <c r="U343" i="1"/>
  <c r="O343" i="1"/>
  <c r="L343" i="1"/>
  <c r="H343" i="1"/>
  <c r="F343" i="1"/>
  <c r="G343" i="1" s="1"/>
  <c r="AO342" i="1"/>
  <c r="AN342" i="1"/>
  <c r="U342" i="1"/>
  <c r="O342" i="1"/>
  <c r="L342" i="1"/>
  <c r="H342" i="1"/>
  <c r="F342" i="1"/>
  <c r="G342" i="1" s="1"/>
  <c r="AP341" i="1"/>
  <c r="AO341" i="1"/>
  <c r="AN341" i="1"/>
  <c r="U341" i="1"/>
  <c r="O341" i="1"/>
  <c r="L341" i="1"/>
  <c r="H341" i="1"/>
  <c r="F341" i="1"/>
  <c r="G341" i="1" s="1"/>
  <c r="AO340" i="1"/>
  <c r="AN340" i="1"/>
  <c r="U340" i="1"/>
  <c r="O340" i="1"/>
  <c r="L340" i="1"/>
  <c r="H340" i="1"/>
  <c r="F340" i="1"/>
  <c r="G340" i="1" s="1"/>
  <c r="AO339" i="1"/>
  <c r="AN339" i="1"/>
  <c r="W339" i="1"/>
  <c r="Q339" i="1"/>
  <c r="H339" i="1"/>
  <c r="F339" i="1"/>
  <c r="G339" i="1" s="1"/>
  <c r="AP338" i="1"/>
  <c r="AO338" i="1"/>
  <c r="AN338" i="1"/>
  <c r="W338" i="1"/>
  <c r="Q338" i="1"/>
  <c r="H338" i="1"/>
  <c r="F338" i="1"/>
  <c r="G338" i="1" s="1"/>
  <c r="AO337" i="1"/>
  <c r="AN337" i="1"/>
  <c r="W337" i="1"/>
  <c r="Q337" i="1"/>
  <c r="L337" i="1"/>
  <c r="H337" i="1"/>
  <c r="F337" i="1"/>
  <c r="G337" i="1" s="1"/>
  <c r="AJ358" i="1" l="1"/>
  <c r="AJ355" i="1"/>
  <c r="AJ357" i="1"/>
  <c r="AJ356" i="1"/>
  <c r="AJ339" i="1"/>
  <c r="AJ337" i="1"/>
  <c r="AJ343" i="1"/>
  <c r="AJ348" i="1"/>
  <c r="AJ353" i="1"/>
  <c r="AJ340" i="1"/>
  <c r="AJ345" i="1"/>
  <c r="AJ350" i="1"/>
  <c r="AJ342" i="1"/>
  <c r="AJ347" i="1"/>
  <c r="AJ352" i="1"/>
  <c r="AJ344" i="1"/>
  <c r="AJ349" i="1"/>
  <c r="AJ354" i="1"/>
  <c r="AJ341" i="1"/>
  <c r="AJ338" i="1"/>
  <c r="AJ346" i="1"/>
  <c r="AJ351" i="1"/>
  <c r="AO336" i="1" l="1"/>
  <c r="AN336" i="1"/>
  <c r="AK336" i="1"/>
  <c r="W336" i="1"/>
  <c r="Q336" i="1"/>
  <c r="H336" i="1"/>
  <c r="F336" i="1"/>
  <c r="G336" i="1" s="1"/>
  <c r="AO335" i="1"/>
  <c r="AN335" i="1"/>
  <c r="AK335" i="1"/>
  <c r="W335" i="1"/>
  <c r="Q335" i="1"/>
  <c r="L335" i="1"/>
  <c r="F335" i="1"/>
  <c r="G335" i="1" s="1"/>
  <c r="AO334" i="1"/>
  <c r="AN334" i="1"/>
  <c r="AK334" i="1"/>
  <c r="W334" i="1"/>
  <c r="AJ334" i="1" s="1"/>
  <c r="Q334" i="1"/>
  <c r="N334" i="1"/>
  <c r="J334" i="1"/>
  <c r="F334" i="1"/>
  <c r="G334" i="1" s="1"/>
  <c r="AO333" i="1"/>
  <c r="AN333" i="1"/>
  <c r="AK333" i="1"/>
  <c r="W333" i="1"/>
  <c r="AJ333" i="1" s="1"/>
  <c r="Q333" i="1"/>
  <c r="N333" i="1"/>
  <c r="J333" i="1"/>
  <c r="F333" i="1"/>
  <c r="G333" i="1" s="1"/>
  <c r="AO332" i="1"/>
  <c r="AN332" i="1"/>
  <c r="AK332" i="1"/>
  <c r="W332" i="1"/>
  <c r="AJ332" i="1" s="1"/>
  <c r="Q332" i="1"/>
  <c r="N332" i="1"/>
  <c r="J332" i="1"/>
  <c r="F332" i="1"/>
  <c r="G332" i="1" s="1"/>
  <c r="AO331" i="1"/>
  <c r="AN331" i="1"/>
  <c r="AK331" i="1"/>
  <c r="W331" i="1"/>
  <c r="AJ331" i="1" s="1"/>
  <c r="Q331" i="1"/>
  <c r="N331" i="1"/>
  <c r="J331" i="1"/>
  <c r="F331" i="1"/>
  <c r="G331" i="1" s="1"/>
  <c r="AO330" i="1"/>
  <c r="AN330" i="1"/>
  <c r="AK330" i="1"/>
  <c r="W330" i="1"/>
  <c r="Q330" i="1"/>
  <c r="L330" i="1"/>
  <c r="N330" i="1" s="1"/>
  <c r="J330" i="1"/>
  <c r="F330" i="1"/>
  <c r="G330" i="1" s="1"/>
  <c r="AP329" i="1"/>
  <c r="AO329" i="1"/>
  <c r="AN329" i="1"/>
  <c r="AK329" i="1"/>
  <c r="W329" i="1"/>
  <c r="Q329" i="1"/>
  <c r="N329" i="1"/>
  <c r="H329" i="1"/>
  <c r="F329" i="1"/>
  <c r="G329" i="1" s="1"/>
  <c r="AO328" i="1"/>
  <c r="AN328" i="1"/>
  <c r="AK328" i="1"/>
  <c r="W328" i="1"/>
  <c r="AJ328" i="1" s="1"/>
  <c r="Q328" i="1"/>
  <c r="N328" i="1"/>
  <c r="J328" i="1"/>
  <c r="F328" i="1"/>
  <c r="G328" i="1" s="1"/>
  <c r="AO327" i="1"/>
  <c r="AN327" i="1"/>
  <c r="AK327" i="1"/>
  <c r="W327" i="1"/>
  <c r="AJ327" i="1" s="1"/>
  <c r="Q327" i="1"/>
  <c r="N327" i="1"/>
  <c r="J327" i="1"/>
  <c r="F327" i="1"/>
  <c r="G327" i="1" s="1"/>
  <c r="AO326" i="1"/>
  <c r="AN326" i="1"/>
  <c r="AK326" i="1"/>
  <c r="W326" i="1"/>
  <c r="AJ326" i="1" s="1"/>
  <c r="Q326" i="1"/>
  <c r="N326" i="1"/>
  <c r="J326" i="1"/>
  <c r="F326" i="1"/>
  <c r="G326" i="1" s="1"/>
  <c r="AO325" i="1"/>
  <c r="AN325" i="1"/>
  <c r="AK325" i="1"/>
  <c r="W325" i="1"/>
  <c r="AJ325" i="1" s="1"/>
  <c r="Q325" i="1"/>
  <c r="N325" i="1"/>
  <c r="J325" i="1"/>
  <c r="F325" i="1"/>
  <c r="G325" i="1" s="1"/>
  <c r="AO324" i="1"/>
  <c r="AN324" i="1"/>
  <c r="AK324" i="1"/>
  <c r="W324" i="1"/>
  <c r="AJ324" i="1" s="1"/>
  <c r="Q324" i="1"/>
  <c r="N324" i="1"/>
  <c r="J324" i="1"/>
  <c r="F324" i="1"/>
  <c r="G324" i="1" s="1"/>
  <c r="AO323" i="1"/>
  <c r="AN323" i="1"/>
  <c r="AK323" i="1"/>
  <c r="W323" i="1"/>
  <c r="AJ323" i="1" s="1"/>
  <c r="Q323" i="1"/>
  <c r="N323" i="1"/>
  <c r="J323" i="1"/>
  <c r="F323" i="1"/>
  <c r="G323" i="1" s="1"/>
  <c r="AO322" i="1"/>
  <c r="AN322" i="1"/>
  <c r="AK322" i="1"/>
  <c r="W322" i="1"/>
  <c r="AJ322" i="1" s="1"/>
  <c r="Q322" i="1"/>
  <c r="N322" i="1"/>
  <c r="J322" i="1"/>
  <c r="F322" i="1"/>
  <c r="G322" i="1" s="1"/>
  <c r="AO321" i="1"/>
  <c r="AN321" i="1"/>
  <c r="AK321" i="1"/>
  <c r="W321" i="1"/>
  <c r="AJ321" i="1" s="1"/>
  <c r="Q321" i="1"/>
  <c r="N321" i="1"/>
  <c r="J321" i="1"/>
  <c r="F321" i="1"/>
  <c r="G321" i="1" s="1"/>
  <c r="AO320" i="1"/>
  <c r="AN320" i="1"/>
  <c r="AK320" i="1"/>
  <c r="W320" i="1"/>
  <c r="AJ320" i="1" s="1"/>
  <c r="Q320" i="1"/>
  <c r="N320" i="1"/>
  <c r="J320" i="1"/>
  <c r="F320" i="1"/>
  <c r="G320" i="1" s="1"/>
  <c r="AO319" i="1"/>
  <c r="AN319" i="1"/>
  <c r="AK319" i="1"/>
  <c r="W319" i="1"/>
  <c r="AJ319" i="1" s="1"/>
  <c r="Q319" i="1"/>
  <c r="N319" i="1"/>
  <c r="J319" i="1"/>
  <c r="F319" i="1"/>
  <c r="G319" i="1" s="1"/>
  <c r="AP318" i="1"/>
  <c r="AO318" i="1"/>
  <c r="AN318" i="1"/>
  <c r="AK318" i="1"/>
  <c r="W318" i="1"/>
  <c r="Q318" i="1"/>
  <c r="N318" i="1"/>
  <c r="H318" i="1"/>
  <c r="F318" i="1"/>
  <c r="G318" i="1" s="1"/>
  <c r="AO317" i="1"/>
  <c r="AN317" i="1"/>
  <c r="AK317" i="1"/>
  <c r="W317" i="1"/>
  <c r="AJ317" i="1" s="1"/>
  <c r="Q317" i="1"/>
  <c r="N317" i="1"/>
  <c r="J317" i="1"/>
  <c r="F317" i="1"/>
  <c r="G317" i="1" s="1"/>
  <c r="AP316" i="1"/>
  <c r="AO316" i="1"/>
  <c r="AN316" i="1"/>
  <c r="AK316" i="1"/>
  <c r="W316" i="1"/>
  <c r="AJ316" i="1" s="1"/>
  <c r="Q316" i="1"/>
  <c r="N316" i="1"/>
  <c r="J316" i="1"/>
  <c r="F316" i="1"/>
  <c r="G316" i="1" s="1"/>
  <c r="AJ318" i="1" l="1"/>
  <c r="AJ336" i="1"/>
  <c r="AJ329" i="1"/>
  <c r="AJ335" i="1"/>
  <c r="AJ330" i="1"/>
  <c r="AP315" i="1" l="1"/>
  <c r="AO315" i="1"/>
  <c r="AN315" i="1"/>
  <c r="AK315" i="1"/>
  <c r="W315" i="1"/>
  <c r="AJ315" i="1" s="1"/>
  <c r="Q315" i="1"/>
  <c r="N315" i="1"/>
  <c r="J315" i="1"/>
  <c r="F315" i="1"/>
  <c r="G315" i="1" s="1"/>
  <c r="AO314" i="1"/>
  <c r="AN314" i="1"/>
  <c r="AK314" i="1"/>
  <c r="W314" i="1"/>
  <c r="AJ314" i="1" s="1"/>
  <c r="Q314" i="1"/>
  <c r="N314" i="1"/>
  <c r="J314" i="1"/>
  <c r="F314" i="1"/>
  <c r="G314" i="1" s="1"/>
  <c r="AO313" i="1"/>
  <c r="AN313" i="1"/>
  <c r="AK313" i="1"/>
  <c r="W313" i="1"/>
  <c r="AJ313" i="1" s="1"/>
  <c r="Q313" i="1"/>
  <c r="N313" i="1"/>
  <c r="J313" i="1"/>
  <c r="F313" i="1"/>
  <c r="G313" i="1" s="1"/>
  <c r="AO312" i="1"/>
  <c r="AN312" i="1"/>
  <c r="AK312" i="1"/>
  <c r="W312" i="1"/>
  <c r="AJ312" i="1" s="1"/>
  <c r="Q312" i="1"/>
  <c r="N312" i="1"/>
  <c r="J312" i="1"/>
  <c r="F312" i="1"/>
  <c r="G312" i="1" s="1"/>
  <c r="AO311" i="1"/>
  <c r="AN311" i="1"/>
  <c r="AK311" i="1"/>
  <c r="W311" i="1"/>
  <c r="AJ311" i="1" s="1"/>
  <c r="Q311" i="1"/>
  <c r="N311" i="1"/>
  <c r="J311" i="1"/>
  <c r="F311" i="1"/>
  <c r="G311" i="1" s="1"/>
  <c r="AP310" i="1"/>
  <c r="AO310" i="1"/>
  <c r="AN310" i="1"/>
  <c r="AK310" i="1"/>
  <c r="W310" i="1"/>
  <c r="AJ310" i="1" s="1"/>
  <c r="Q310" i="1"/>
  <c r="N310" i="1"/>
  <c r="J310" i="1"/>
  <c r="F310" i="1"/>
  <c r="G310" i="1" s="1"/>
  <c r="AO309" i="1"/>
  <c r="AN309" i="1"/>
  <c r="AK309" i="1"/>
  <c r="W309" i="1"/>
  <c r="AJ309" i="1" s="1"/>
  <c r="Q309" i="1"/>
  <c r="N309" i="1"/>
  <c r="J309" i="1"/>
  <c r="F309" i="1"/>
  <c r="G309" i="1" s="1"/>
  <c r="AO308" i="1"/>
  <c r="AN308" i="1"/>
  <c r="AK308" i="1"/>
  <c r="W308" i="1"/>
  <c r="AJ308" i="1" s="1"/>
  <c r="Q308" i="1"/>
  <c r="N308" i="1"/>
  <c r="J308" i="1"/>
  <c r="F308" i="1"/>
  <c r="G308" i="1" s="1"/>
  <c r="AO307" i="1"/>
  <c r="AN307" i="1"/>
  <c r="AK307" i="1"/>
  <c r="W307" i="1"/>
  <c r="AJ307" i="1" s="1"/>
  <c r="Q307" i="1"/>
  <c r="N307" i="1"/>
  <c r="J307" i="1"/>
  <c r="F307" i="1"/>
  <c r="G307" i="1" s="1"/>
  <c r="AO306" i="1"/>
  <c r="AN306" i="1"/>
  <c r="AK306" i="1"/>
  <c r="W306" i="1"/>
  <c r="AJ306" i="1" s="1"/>
  <c r="Q306" i="1"/>
  <c r="N306" i="1"/>
  <c r="J306" i="1"/>
  <c r="F306" i="1"/>
  <c r="G306" i="1" s="1"/>
  <c r="AO305" i="1"/>
  <c r="AN305" i="1"/>
  <c r="AK305" i="1"/>
  <c r="W305" i="1"/>
  <c r="AJ305" i="1" s="1"/>
  <c r="Q305" i="1"/>
  <c r="N305" i="1"/>
  <c r="J305" i="1"/>
  <c r="F305" i="1"/>
  <c r="G305" i="1" s="1"/>
  <c r="AO304" i="1"/>
  <c r="AN304" i="1"/>
  <c r="W304" i="1"/>
  <c r="Q304" i="1"/>
  <c r="N304" i="1"/>
  <c r="H304" i="1"/>
  <c r="F304" i="1"/>
  <c r="G304" i="1" s="1"/>
  <c r="AO303" i="1"/>
  <c r="AN303" i="1"/>
  <c r="AK303" i="1"/>
  <c r="W303" i="1"/>
  <c r="AJ303" i="1" s="1"/>
  <c r="Q303" i="1"/>
  <c r="N303" i="1"/>
  <c r="J303" i="1"/>
  <c r="F303" i="1"/>
  <c r="G303" i="1" s="1"/>
  <c r="AO302" i="1"/>
  <c r="AN302" i="1"/>
  <c r="AK302" i="1"/>
  <c r="W302" i="1"/>
  <c r="AJ302" i="1" s="1"/>
  <c r="Q302" i="1"/>
  <c r="N302" i="1"/>
  <c r="J302" i="1"/>
  <c r="F302" i="1"/>
  <c r="G302" i="1" s="1"/>
  <c r="AO301" i="1"/>
  <c r="AN301" i="1"/>
  <c r="AK301" i="1"/>
  <c r="W301" i="1"/>
  <c r="AJ301" i="1" s="1"/>
  <c r="Q301" i="1"/>
  <c r="N301" i="1"/>
  <c r="J301" i="1"/>
  <c r="F301" i="1"/>
  <c r="G301" i="1" s="1"/>
  <c r="AO300" i="1"/>
  <c r="AN300" i="1"/>
  <c r="AK300" i="1"/>
  <c r="W300" i="1"/>
  <c r="AJ300" i="1" s="1"/>
  <c r="Q300" i="1"/>
  <c r="N300" i="1"/>
  <c r="J300" i="1"/>
  <c r="F300" i="1"/>
  <c r="G300" i="1" s="1"/>
  <c r="AO299" i="1"/>
  <c r="AN299" i="1"/>
  <c r="W299" i="1"/>
  <c r="Q299" i="1"/>
  <c r="N299" i="1"/>
  <c r="I299" i="1"/>
  <c r="F299" i="1"/>
  <c r="G299" i="1" s="1"/>
  <c r="AP298" i="1"/>
  <c r="AO298" i="1"/>
  <c r="AN298" i="1"/>
  <c r="AJ298" i="1"/>
  <c r="Q298" i="1"/>
  <c r="N298" i="1"/>
  <c r="J298" i="1"/>
  <c r="F298" i="1"/>
  <c r="G298" i="1" s="1"/>
  <c r="AO297" i="1"/>
  <c r="AN297" i="1"/>
  <c r="AJ297" i="1"/>
  <c r="Q297" i="1"/>
  <c r="N297" i="1"/>
  <c r="J297" i="1"/>
  <c r="F297" i="1"/>
  <c r="G297" i="1" s="1"/>
  <c r="AO296" i="1"/>
  <c r="AN296" i="1"/>
  <c r="AJ296" i="1"/>
  <c r="Q296" i="1"/>
  <c r="N296" i="1"/>
  <c r="J296" i="1"/>
  <c r="F296" i="1"/>
  <c r="G296" i="1" s="1"/>
  <c r="AO295" i="1"/>
  <c r="AN295" i="1"/>
  <c r="AJ295" i="1"/>
  <c r="Q295" i="1"/>
  <c r="N295" i="1"/>
  <c r="J295" i="1"/>
  <c r="F295" i="1"/>
  <c r="G295" i="1" s="1"/>
  <c r="AP294" i="1"/>
  <c r="AO294" i="1"/>
  <c r="AN294" i="1"/>
  <c r="AK294" i="1"/>
  <c r="AJ294" i="1"/>
  <c r="Q294" i="1"/>
  <c r="N294" i="1"/>
  <c r="J294" i="1"/>
  <c r="F294" i="1"/>
  <c r="G294" i="1" s="1"/>
  <c r="AJ299" i="1" l="1"/>
  <c r="AJ304" i="1"/>
  <c r="J304" i="1"/>
  <c r="J299" i="1"/>
  <c r="AO293" i="1" l="1"/>
  <c r="AN293" i="1"/>
  <c r="AK293" i="1"/>
  <c r="Q293" i="1"/>
  <c r="N293" i="1"/>
  <c r="J293" i="1"/>
  <c r="F293" i="1"/>
  <c r="G293" i="1" s="1"/>
  <c r="AO292" i="1"/>
  <c r="AN292" i="1"/>
  <c r="AK292" i="1"/>
  <c r="Q292" i="1"/>
  <c r="N292" i="1"/>
  <c r="J292" i="1"/>
  <c r="F292" i="1"/>
  <c r="G292" i="1" s="1"/>
  <c r="AO291" i="1"/>
  <c r="AN291" i="1"/>
  <c r="AK291" i="1"/>
  <c r="Q291" i="1"/>
  <c r="N291" i="1"/>
  <c r="J291" i="1"/>
  <c r="F291" i="1"/>
  <c r="G291" i="1" s="1"/>
  <c r="AO290" i="1"/>
  <c r="AN290" i="1"/>
  <c r="AK290" i="1"/>
  <c r="Q290" i="1"/>
  <c r="N290" i="1"/>
  <c r="J290" i="1"/>
  <c r="F290" i="1"/>
  <c r="G290" i="1" s="1"/>
  <c r="AP289" i="1"/>
  <c r="AO289" i="1"/>
  <c r="AN289" i="1"/>
  <c r="AK289" i="1"/>
  <c r="Q289" i="1"/>
  <c r="N289" i="1"/>
  <c r="J289" i="1"/>
  <c r="F289" i="1"/>
  <c r="G289" i="1" s="1"/>
  <c r="AP288" i="1"/>
  <c r="AO288" i="1"/>
  <c r="AN288" i="1"/>
  <c r="AK288" i="1"/>
  <c r="Q288" i="1"/>
  <c r="N288" i="1"/>
  <c r="J288" i="1"/>
  <c r="F288" i="1"/>
  <c r="G288" i="1" s="1"/>
  <c r="AO287" i="1"/>
  <c r="AN287" i="1"/>
  <c r="AK287" i="1"/>
  <c r="Q287" i="1"/>
  <c r="N287" i="1"/>
  <c r="J287" i="1"/>
  <c r="F287" i="1"/>
  <c r="G287" i="1" s="1"/>
  <c r="AO286" i="1"/>
  <c r="AN286" i="1"/>
  <c r="AK286" i="1"/>
  <c r="Q286" i="1"/>
  <c r="N286" i="1"/>
  <c r="J286" i="1"/>
  <c r="F286" i="1"/>
  <c r="G286" i="1" s="1"/>
  <c r="AP285" i="1"/>
  <c r="AO285" i="1"/>
  <c r="AN285" i="1"/>
  <c r="AK285" i="1"/>
  <c r="Q285" i="1"/>
  <c r="N285" i="1"/>
  <c r="J285" i="1"/>
  <c r="F285" i="1"/>
  <c r="G285" i="1" s="1"/>
  <c r="AP284" i="1"/>
  <c r="AO284" i="1"/>
  <c r="AN284" i="1"/>
  <c r="AK284" i="1"/>
  <c r="Q284" i="1"/>
  <c r="N284" i="1"/>
  <c r="J284" i="1"/>
  <c r="F284" i="1"/>
  <c r="G284" i="1" s="1"/>
  <c r="AO283" i="1"/>
  <c r="AN283" i="1"/>
  <c r="AK283" i="1"/>
  <c r="Q283" i="1"/>
  <c r="N283" i="1"/>
  <c r="J283" i="1"/>
  <c r="F283" i="1"/>
  <c r="G283" i="1" s="1"/>
  <c r="AO282" i="1"/>
  <c r="AN282" i="1"/>
  <c r="AK282" i="1"/>
  <c r="Q282" i="1"/>
  <c r="N282" i="1"/>
  <c r="J282" i="1"/>
  <c r="F282" i="1"/>
  <c r="G282" i="1" s="1"/>
  <c r="AO281" i="1"/>
  <c r="AN281" i="1"/>
  <c r="AK281" i="1"/>
  <c r="Q281" i="1"/>
  <c r="N281" i="1"/>
  <c r="J281" i="1"/>
  <c r="F281" i="1"/>
  <c r="G281" i="1" s="1"/>
  <c r="AP280" i="1"/>
  <c r="AO280" i="1"/>
  <c r="AN280" i="1"/>
  <c r="AK280" i="1"/>
  <c r="Q280" i="1"/>
  <c r="N280" i="1"/>
  <c r="J280" i="1"/>
  <c r="F280" i="1"/>
  <c r="G280" i="1" s="1"/>
  <c r="AO279" i="1"/>
  <c r="AN279" i="1"/>
  <c r="AK279" i="1"/>
  <c r="Q279" i="1"/>
  <c r="N279" i="1"/>
  <c r="J279" i="1"/>
  <c r="F279" i="1"/>
  <c r="G279" i="1" s="1"/>
  <c r="AO278" i="1"/>
  <c r="AN278" i="1"/>
  <c r="AK278" i="1"/>
  <c r="Q278" i="1"/>
  <c r="N278" i="1"/>
  <c r="J278" i="1"/>
  <c r="F278" i="1"/>
  <c r="G278" i="1" s="1"/>
  <c r="AO277" i="1"/>
  <c r="AN277" i="1"/>
  <c r="AK277" i="1"/>
  <c r="Q277" i="1"/>
  <c r="N277" i="1"/>
  <c r="J277" i="1"/>
  <c r="F277" i="1"/>
  <c r="G277" i="1" s="1"/>
  <c r="AP276" i="1"/>
  <c r="AO276" i="1"/>
  <c r="AN276" i="1"/>
  <c r="AK276" i="1"/>
  <c r="Q276" i="1"/>
  <c r="N276" i="1"/>
  <c r="J276" i="1"/>
  <c r="F276" i="1"/>
  <c r="G276" i="1" s="1"/>
  <c r="AO275" i="1"/>
  <c r="AN275" i="1"/>
  <c r="AK275" i="1"/>
  <c r="Q275" i="1"/>
  <c r="N275" i="1"/>
  <c r="J275" i="1"/>
  <c r="F275" i="1"/>
  <c r="G275" i="1" s="1"/>
  <c r="AP274" i="1"/>
  <c r="AO274" i="1"/>
  <c r="AN274" i="1"/>
  <c r="AK274" i="1"/>
  <c r="Q274" i="1"/>
  <c r="N274" i="1"/>
  <c r="J274" i="1"/>
  <c r="F274" i="1"/>
  <c r="G274" i="1" s="1"/>
  <c r="AP273" i="1"/>
  <c r="AO273" i="1"/>
  <c r="AN273" i="1"/>
  <c r="AK273" i="1"/>
  <c r="Q273" i="1"/>
  <c r="N273" i="1"/>
  <c r="J273" i="1"/>
  <c r="F273" i="1"/>
  <c r="G273" i="1" s="1"/>
  <c r="AJ279" i="1" l="1"/>
  <c r="AJ285" i="1"/>
  <c r="AJ273" i="1"/>
  <c r="AJ274" i="1"/>
  <c r="AJ280" i="1"/>
  <c r="AJ281" i="1"/>
  <c r="AJ293" i="1"/>
  <c r="AJ278" i="1"/>
  <c r="AJ283" i="1"/>
  <c r="AJ291" i="1"/>
  <c r="AJ276" i="1"/>
  <c r="AJ282" i="1"/>
  <c r="AJ288" i="1"/>
  <c r="AJ290" i="1"/>
  <c r="AJ275" i="1"/>
  <c r="AJ287" i="1"/>
  <c r="AJ277" i="1"/>
  <c r="AJ292" i="1"/>
  <c r="AJ284" i="1"/>
  <c r="AJ286" i="1"/>
  <c r="AJ289" i="1"/>
  <c r="AO272" i="1" l="1"/>
  <c r="AN272" i="1"/>
  <c r="AK272" i="1"/>
  <c r="Q272" i="1"/>
  <c r="N272" i="1"/>
  <c r="J272" i="1"/>
  <c r="F272" i="1"/>
  <c r="G272" i="1" s="1"/>
  <c r="AO271" i="1"/>
  <c r="AN271" i="1"/>
  <c r="AK271" i="1"/>
  <c r="Q271" i="1"/>
  <c r="N271" i="1"/>
  <c r="J271" i="1"/>
  <c r="F271" i="1"/>
  <c r="G271" i="1" s="1"/>
  <c r="AO270" i="1"/>
  <c r="AN270" i="1"/>
  <c r="AK270" i="1"/>
  <c r="Q270" i="1"/>
  <c r="N270" i="1"/>
  <c r="J270" i="1"/>
  <c r="F270" i="1"/>
  <c r="G270" i="1" s="1"/>
  <c r="AO269" i="1"/>
  <c r="AN269" i="1"/>
  <c r="AK269" i="1"/>
  <c r="Q269" i="1"/>
  <c r="N269" i="1"/>
  <c r="J269" i="1"/>
  <c r="F269" i="1"/>
  <c r="G269" i="1" s="1"/>
  <c r="AO268" i="1"/>
  <c r="AN268" i="1"/>
  <c r="AK268" i="1"/>
  <c r="Q268" i="1"/>
  <c r="N268" i="1"/>
  <c r="J268" i="1"/>
  <c r="F268" i="1"/>
  <c r="G268" i="1" s="1"/>
  <c r="AO267" i="1"/>
  <c r="AN267" i="1"/>
  <c r="AK267" i="1"/>
  <c r="Q267" i="1"/>
  <c r="N267" i="1"/>
  <c r="J267" i="1"/>
  <c r="F267" i="1"/>
  <c r="G267" i="1" s="1"/>
  <c r="AO266" i="1"/>
  <c r="AN266" i="1"/>
  <c r="AK266" i="1"/>
  <c r="Q266" i="1"/>
  <c r="N266" i="1"/>
  <c r="J266" i="1"/>
  <c r="F266" i="1"/>
  <c r="G266" i="1" s="1"/>
  <c r="AO265" i="1"/>
  <c r="AN265" i="1"/>
  <c r="AK265" i="1"/>
  <c r="Q265" i="1"/>
  <c r="N265" i="1"/>
  <c r="J265" i="1"/>
  <c r="F265" i="1"/>
  <c r="G265" i="1" s="1"/>
  <c r="AO264" i="1"/>
  <c r="AN264" i="1"/>
  <c r="AK264" i="1"/>
  <c r="Q264" i="1"/>
  <c r="N264" i="1"/>
  <c r="J264" i="1"/>
  <c r="F264" i="1"/>
  <c r="G264" i="1" s="1"/>
  <c r="AO263" i="1"/>
  <c r="AN263" i="1"/>
  <c r="AK263" i="1"/>
  <c r="Q263" i="1"/>
  <c r="N263" i="1"/>
  <c r="J263" i="1"/>
  <c r="F263" i="1"/>
  <c r="G263" i="1" s="1"/>
  <c r="AO262" i="1"/>
  <c r="AN262" i="1"/>
  <c r="AK262" i="1"/>
  <c r="Q262" i="1"/>
  <c r="N262" i="1"/>
  <c r="J262" i="1"/>
  <c r="F262" i="1"/>
  <c r="G262" i="1" s="1"/>
  <c r="AO261" i="1"/>
  <c r="AN261" i="1"/>
  <c r="AK261" i="1"/>
  <c r="Q261" i="1"/>
  <c r="N261" i="1"/>
  <c r="J261" i="1"/>
  <c r="F261" i="1"/>
  <c r="G261" i="1" s="1"/>
  <c r="AO260" i="1"/>
  <c r="AN260" i="1"/>
  <c r="AK260" i="1"/>
  <c r="Q260" i="1"/>
  <c r="N260" i="1"/>
  <c r="J260" i="1"/>
  <c r="F260" i="1"/>
  <c r="G260" i="1" s="1"/>
  <c r="AO259" i="1"/>
  <c r="AN259" i="1"/>
  <c r="AK259" i="1"/>
  <c r="Q259" i="1"/>
  <c r="N259" i="1"/>
  <c r="J259" i="1"/>
  <c r="F259" i="1"/>
  <c r="G259" i="1" s="1"/>
  <c r="AO258" i="1"/>
  <c r="AN258" i="1"/>
  <c r="AK258" i="1"/>
  <c r="Q258" i="1"/>
  <c r="N258" i="1"/>
  <c r="J258" i="1"/>
  <c r="F258" i="1"/>
  <c r="G258" i="1" s="1"/>
  <c r="AO257" i="1"/>
  <c r="AN257" i="1"/>
  <c r="AK257" i="1"/>
  <c r="Q257" i="1"/>
  <c r="N257" i="1"/>
  <c r="J257" i="1"/>
  <c r="F257" i="1"/>
  <c r="G257" i="1" s="1"/>
  <c r="AO256" i="1"/>
  <c r="AN256" i="1"/>
  <c r="AK256" i="1"/>
  <c r="Q256" i="1"/>
  <c r="N256" i="1"/>
  <c r="J256" i="1"/>
  <c r="F256" i="1"/>
  <c r="G256" i="1" s="1"/>
  <c r="AO255" i="1"/>
  <c r="AN255" i="1"/>
  <c r="AK255" i="1"/>
  <c r="Q255" i="1"/>
  <c r="N255" i="1"/>
  <c r="J255" i="1"/>
  <c r="F255" i="1"/>
  <c r="G255" i="1" s="1"/>
  <c r="AO254" i="1"/>
  <c r="AN254" i="1"/>
  <c r="AK254" i="1"/>
  <c r="Q254" i="1"/>
  <c r="N254" i="1"/>
  <c r="J254" i="1"/>
  <c r="F254" i="1"/>
  <c r="G254" i="1" s="1"/>
  <c r="AO253" i="1"/>
  <c r="AN253" i="1"/>
  <c r="AK253" i="1"/>
  <c r="Q253" i="1"/>
  <c r="N253" i="1"/>
  <c r="J253" i="1"/>
  <c r="F253" i="1"/>
  <c r="G253" i="1" s="1"/>
  <c r="AP252" i="1"/>
  <c r="AO252" i="1"/>
  <c r="AN252" i="1"/>
  <c r="AK252" i="1"/>
  <c r="Q252" i="1"/>
  <c r="N252" i="1"/>
  <c r="J252" i="1"/>
  <c r="F252" i="1"/>
  <c r="G252" i="1" s="1"/>
  <c r="AO251" i="1"/>
  <c r="AN251" i="1"/>
  <c r="AK251" i="1"/>
  <c r="Q251" i="1"/>
  <c r="N251" i="1"/>
  <c r="J251" i="1"/>
  <c r="F251" i="1"/>
  <c r="G251" i="1" s="1"/>
  <c r="AO250" i="1"/>
  <c r="AN250" i="1"/>
  <c r="AK250" i="1"/>
  <c r="N250" i="1"/>
  <c r="AJ250" i="1" s="1"/>
  <c r="J250" i="1"/>
  <c r="F250" i="1"/>
  <c r="G250" i="1" s="1"/>
  <c r="AO249" i="1"/>
  <c r="AN249" i="1"/>
  <c r="AK249" i="1"/>
  <c r="AJ249" i="1"/>
  <c r="J249" i="1"/>
  <c r="F249" i="1"/>
  <c r="G249" i="1" s="1"/>
  <c r="AO248" i="1"/>
  <c r="AN248" i="1"/>
  <c r="AK248" i="1"/>
  <c r="AJ248" i="1"/>
  <c r="J248" i="1"/>
  <c r="F248" i="1"/>
  <c r="G248" i="1" s="1"/>
  <c r="AO247" i="1"/>
  <c r="AN247" i="1"/>
  <c r="AK247" i="1"/>
  <c r="AJ247" i="1"/>
  <c r="J247" i="1"/>
  <c r="F247" i="1"/>
  <c r="G247" i="1" s="1"/>
  <c r="AO246" i="1"/>
  <c r="AN246" i="1"/>
  <c r="AK246" i="1"/>
  <c r="AJ246" i="1"/>
  <c r="J246" i="1"/>
  <c r="F246" i="1"/>
  <c r="G246" i="1" s="1"/>
  <c r="AO245" i="1"/>
  <c r="AN245" i="1"/>
  <c r="AK245" i="1"/>
  <c r="AJ245" i="1"/>
  <c r="J245" i="1"/>
  <c r="F245" i="1"/>
  <c r="G245" i="1" s="1"/>
  <c r="AO244" i="1"/>
  <c r="AN244" i="1"/>
  <c r="AK244" i="1"/>
  <c r="AJ244" i="1"/>
  <c r="J244" i="1"/>
  <c r="F244" i="1"/>
  <c r="G244" i="1" s="1"/>
  <c r="AO243" i="1"/>
  <c r="AN243" i="1"/>
  <c r="AK243" i="1"/>
  <c r="AJ243" i="1"/>
  <c r="J243" i="1"/>
  <c r="F243" i="1"/>
  <c r="G243" i="1" s="1"/>
  <c r="AO242" i="1"/>
  <c r="AN242" i="1"/>
  <c r="AK242" i="1"/>
  <c r="AJ242" i="1"/>
  <c r="J242" i="1"/>
  <c r="F242" i="1"/>
  <c r="G242" i="1" s="1"/>
  <c r="AO241" i="1"/>
  <c r="AN241" i="1"/>
  <c r="AK241" i="1"/>
  <c r="AJ241" i="1"/>
  <c r="J241" i="1"/>
  <c r="F241" i="1"/>
  <c r="G241" i="1" s="1"/>
  <c r="AO240" i="1"/>
  <c r="AN240" i="1"/>
  <c r="AK240" i="1"/>
  <c r="AJ240" i="1"/>
  <c r="J240" i="1"/>
  <c r="F240" i="1"/>
  <c r="G240" i="1" s="1"/>
  <c r="AO239" i="1"/>
  <c r="AN239" i="1"/>
  <c r="AJ239" i="1"/>
  <c r="J239" i="1"/>
  <c r="F239" i="1"/>
  <c r="G239" i="1" s="1"/>
  <c r="AO238" i="1"/>
  <c r="AN238" i="1"/>
  <c r="AK238" i="1"/>
  <c r="AJ238" i="1"/>
  <c r="J238" i="1"/>
  <c r="B238" i="1"/>
  <c r="F238" i="1" s="1"/>
  <c r="G238" i="1" s="1"/>
  <c r="AO237" i="1"/>
  <c r="AN237" i="1"/>
  <c r="AK237" i="1"/>
  <c r="AJ237" i="1"/>
  <c r="J237" i="1"/>
  <c r="B237" i="1"/>
  <c r="F237" i="1" s="1"/>
  <c r="G237" i="1" s="1"/>
  <c r="AO236" i="1"/>
  <c r="AN236" i="1"/>
  <c r="AK236" i="1"/>
  <c r="AJ236" i="1"/>
  <c r="J236" i="1"/>
  <c r="B236" i="1"/>
  <c r="F236" i="1" s="1"/>
  <c r="G236" i="1" s="1"/>
  <c r="AO235" i="1"/>
  <c r="AN235" i="1"/>
  <c r="AK235" i="1"/>
  <c r="AJ235" i="1"/>
  <c r="J235" i="1"/>
  <c r="B235" i="1"/>
  <c r="F235" i="1" s="1"/>
  <c r="G235" i="1" s="1"/>
  <c r="AP234" i="1"/>
  <c r="AO234" i="1"/>
  <c r="AN234" i="1"/>
  <c r="AK234" i="1"/>
  <c r="AJ234" i="1"/>
  <c r="J234" i="1"/>
  <c r="B234" i="1"/>
  <c r="F234" i="1" s="1"/>
  <c r="G234" i="1" s="1"/>
  <c r="AO233" i="1"/>
  <c r="AN233" i="1"/>
  <c r="AK233" i="1"/>
  <c r="AJ233" i="1"/>
  <c r="J233" i="1"/>
  <c r="B233" i="1"/>
  <c r="F233" i="1" s="1"/>
  <c r="G233" i="1" s="1"/>
  <c r="AO232" i="1"/>
  <c r="AN232" i="1"/>
  <c r="AK232" i="1"/>
  <c r="AJ232" i="1"/>
  <c r="J232" i="1"/>
  <c r="B232" i="1"/>
  <c r="F232" i="1" s="1"/>
  <c r="G232" i="1" s="1"/>
  <c r="AP231" i="1"/>
  <c r="AO231" i="1"/>
  <c r="AN231" i="1"/>
  <c r="AK231" i="1"/>
  <c r="AJ231" i="1"/>
  <c r="J231" i="1"/>
  <c r="B231" i="1"/>
  <c r="F231" i="1" s="1"/>
  <c r="G231" i="1" s="1"/>
  <c r="AO230" i="1"/>
  <c r="AN230" i="1"/>
  <c r="AK230" i="1"/>
  <c r="AJ230" i="1"/>
  <c r="J230" i="1"/>
  <c r="B230" i="1"/>
  <c r="F230" i="1" s="1"/>
  <c r="G230" i="1" s="1"/>
  <c r="AP229" i="1"/>
  <c r="AO229" i="1"/>
  <c r="AN229" i="1"/>
  <c r="AK229" i="1"/>
  <c r="AJ229" i="1"/>
  <c r="J229" i="1"/>
  <c r="B229" i="1"/>
  <c r="F229" i="1" s="1"/>
  <c r="G229" i="1" s="1"/>
  <c r="AK228" i="1"/>
  <c r="AJ228" i="1"/>
  <c r="P228" i="1"/>
  <c r="O228" i="1"/>
  <c r="J228" i="1"/>
  <c r="B228" i="1"/>
  <c r="F228" i="1" s="1"/>
  <c r="G228" i="1" s="1"/>
  <c r="AK227" i="1"/>
  <c r="AJ227" i="1"/>
  <c r="P227" i="1"/>
  <c r="O227" i="1"/>
  <c r="J227" i="1"/>
  <c r="B227" i="1"/>
  <c r="F227" i="1" s="1"/>
  <c r="G227" i="1" s="1"/>
  <c r="AK226" i="1"/>
  <c r="AJ226" i="1"/>
  <c r="P226" i="1"/>
  <c r="O226" i="1"/>
  <c r="J226" i="1"/>
  <c r="B226" i="1"/>
  <c r="F226" i="1" s="1"/>
  <c r="G226" i="1" s="1"/>
  <c r="AK225" i="1"/>
  <c r="AJ225" i="1"/>
  <c r="P225" i="1"/>
  <c r="O225" i="1"/>
  <c r="J225" i="1"/>
  <c r="B225" i="1"/>
  <c r="F225" i="1" s="1"/>
  <c r="G225" i="1" s="1"/>
  <c r="AK224" i="1"/>
  <c r="AJ224" i="1"/>
  <c r="P224" i="1"/>
  <c r="O224" i="1"/>
  <c r="J224" i="1"/>
  <c r="B224" i="1"/>
  <c r="F224" i="1" s="1"/>
  <c r="G224" i="1" s="1"/>
  <c r="AK223" i="1"/>
  <c r="AJ223" i="1"/>
  <c r="P223" i="1"/>
  <c r="O223" i="1"/>
  <c r="J223" i="1"/>
  <c r="B223" i="1"/>
  <c r="F223" i="1" s="1"/>
  <c r="G223" i="1" s="1"/>
  <c r="AK222" i="1"/>
  <c r="AJ222" i="1"/>
  <c r="P222" i="1"/>
  <c r="O222" i="1"/>
  <c r="J222" i="1"/>
  <c r="B222" i="1"/>
  <c r="F222" i="1" s="1"/>
  <c r="G222" i="1" s="1"/>
  <c r="AK221" i="1"/>
  <c r="AJ221" i="1"/>
  <c r="P221" i="1"/>
  <c r="O221" i="1"/>
  <c r="J221" i="1"/>
  <c r="B221" i="1"/>
  <c r="F221" i="1" s="1"/>
  <c r="G221" i="1" s="1"/>
  <c r="AK220" i="1"/>
  <c r="AJ220" i="1"/>
  <c r="P220" i="1"/>
  <c r="O220" i="1"/>
  <c r="J220" i="1"/>
  <c r="B220" i="1"/>
  <c r="F220" i="1" s="1"/>
  <c r="G220" i="1" s="1"/>
  <c r="AK219" i="1"/>
  <c r="AJ219" i="1"/>
  <c r="P219" i="1"/>
  <c r="O219" i="1"/>
  <c r="J219" i="1"/>
  <c r="B219" i="1"/>
  <c r="F219" i="1" s="1"/>
  <c r="G219" i="1" s="1"/>
  <c r="AK218" i="1"/>
  <c r="AJ218" i="1"/>
  <c r="P218" i="1"/>
  <c r="O218" i="1"/>
  <c r="J218" i="1"/>
  <c r="B218" i="1"/>
  <c r="F218" i="1" s="1"/>
  <c r="G218" i="1" s="1"/>
  <c r="AK217" i="1"/>
  <c r="AJ217" i="1"/>
  <c r="P217" i="1"/>
  <c r="O217" i="1"/>
  <c r="J217" i="1"/>
  <c r="B217" i="1"/>
  <c r="F217" i="1" s="1"/>
  <c r="G217" i="1" s="1"/>
  <c r="AK216" i="1"/>
  <c r="AJ216" i="1"/>
  <c r="P216" i="1"/>
  <c r="O216" i="1"/>
  <c r="J216" i="1"/>
  <c r="B216" i="1"/>
  <c r="F216" i="1" s="1"/>
  <c r="G216" i="1" s="1"/>
  <c r="AK215" i="1"/>
  <c r="AJ215" i="1"/>
  <c r="P215" i="1"/>
  <c r="O215" i="1"/>
  <c r="J215" i="1"/>
  <c r="B215" i="1"/>
  <c r="F215" i="1" s="1"/>
  <c r="G215" i="1" s="1"/>
  <c r="AK214" i="1"/>
  <c r="AJ214" i="1"/>
  <c r="P214" i="1"/>
  <c r="O214" i="1"/>
  <c r="J214" i="1"/>
  <c r="B214" i="1"/>
  <c r="F214" i="1" s="1"/>
  <c r="G214" i="1" s="1"/>
  <c r="AM213" i="1"/>
  <c r="AK213" i="1"/>
  <c r="AJ213" i="1"/>
  <c r="P213" i="1"/>
  <c r="O213" i="1"/>
  <c r="J213" i="1"/>
  <c r="B213" i="1"/>
  <c r="F213" i="1" s="1"/>
  <c r="G213" i="1" s="1"/>
  <c r="AK212" i="1"/>
  <c r="AJ212" i="1"/>
  <c r="P212" i="1"/>
  <c r="O212" i="1"/>
  <c r="J212" i="1"/>
  <c r="F212" i="1"/>
  <c r="G212" i="1" s="1"/>
  <c r="AK211" i="1"/>
  <c r="AJ211" i="1"/>
  <c r="P211" i="1"/>
  <c r="O211" i="1"/>
  <c r="J211" i="1"/>
  <c r="F211" i="1"/>
  <c r="G211" i="1" s="1"/>
  <c r="AK210" i="1"/>
  <c r="AJ210" i="1"/>
  <c r="P210" i="1"/>
  <c r="O210" i="1"/>
  <c r="J210" i="1"/>
  <c r="B210" i="1"/>
  <c r="F210" i="1" s="1"/>
  <c r="G210" i="1" s="1"/>
  <c r="AK209" i="1"/>
  <c r="AJ209" i="1"/>
  <c r="P209" i="1"/>
  <c r="O209" i="1"/>
  <c r="J209" i="1"/>
  <c r="B209" i="1"/>
  <c r="F209" i="1" s="1"/>
  <c r="G209" i="1" s="1"/>
  <c r="AK208" i="1"/>
  <c r="AJ208" i="1"/>
  <c r="P208" i="1"/>
  <c r="O208" i="1"/>
  <c r="J208" i="1"/>
  <c r="F208" i="1"/>
  <c r="G208" i="1" s="1"/>
  <c r="AM207" i="1"/>
  <c r="AK207" i="1"/>
  <c r="AJ207" i="1"/>
  <c r="P207" i="1"/>
  <c r="O207" i="1"/>
  <c r="J207" i="1"/>
  <c r="F207" i="1"/>
  <c r="G207" i="1" s="1"/>
  <c r="AK206" i="1"/>
  <c r="AJ206" i="1"/>
  <c r="P206" i="1"/>
  <c r="O206" i="1"/>
  <c r="J206" i="1"/>
  <c r="F206" i="1"/>
  <c r="G206" i="1" s="1"/>
  <c r="AK205" i="1"/>
  <c r="AJ205" i="1"/>
  <c r="P205" i="1"/>
  <c r="O205" i="1"/>
  <c r="J205" i="1"/>
  <c r="F205" i="1"/>
  <c r="G205" i="1" s="1"/>
  <c r="AK204" i="1"/>
  <c r="AJ204" i="1"/>
  <c r="P204" i="1"/>
  <c r="O204" i="1"/>
  <c r="J204" i="1"/>
  <c r="F204" i="1"/>
  <c r="G204" i="1" s="1"/>
  <c r="AK203" i="1"/>
  <c r="AJ203" i="1"/>
  <c r="P203" i="1"/>
  <c r="O203" i="1"/>
  <c r="J203" i="1"/>
  <c r="F203" i="1"/>
  <c r="G203" i="1" s="1"/>
  <c r="AK202" i="1"/>
  <c r="AJ202" i="1"/>
  <c r="P202" i="1"/>
  <c r="O202" i="1"/>
  <c r="J202" i="1"/>
  <c r="B202" i="1"/>
  <c r="F202" i="1" s="1"/>
  <c r="G202" i="1" s="1"/>
  <c r="AK201" i="1"/>
  <c r="AJ201" i="1"/>
  <c r="O201" i="1"/>
  <c r="J201" i="1"/>
  <c r="F201" i="1"/>
  <c r="G201" i="1" s="1"/>
  <c r="AJ200" i="1"/>
  <c r="R200" i="1"/>
  <c r="AK200" i="1" s="1"/>
  <c r="O200" i="1"/>
  <c r="F200" i="1"/>
  <c r="G200" i="1" s="1"/>
  <c r="AK199" i="1"/>
  <c r="AJ199" i="1"/>
  <c r="P199" i="1"/>
  <c r="O199" i="1"/>
  <c r="J199" i="1"/>
  <c r="F199" i="1"/>
  <c r="G199" i="1" s="1"/>
  <c r="AK198" i="1"/>
  <c r="AJ198" i="1"/>
  <c r="P198" i="1"/>
  <c r="O198" i="1"/>
  <c r="J198" i="1"/>
  <c r="F198" i="1"/>
  <c r="G198" i="1" s="1"/>
  <c r="AK197" i="1"/>
  <c r="AJ197" i="1"/>
  <c r="P197" i="1"/>
  <c r="O197" i="1"/>
  <c r="J197" i="1"/>
  <c r="F197" i="1"/>
  <c r="G197" i="1" s="1"/>
  <c r="AK196" i="1"/>
  <c r="AJ196" i="1"/>
  <c r="P196" i="1"/>
  <c r="O196" i="1"/>
  <c r="J196" i="1"/>
  <c r="F196" i="1"/>
  <c r="G196" i="1" s="1"/>
  <c r="AK195" i="1"/>
  <c r="AJ195" i="1"/>
  <c r="P195" i="1"/>
  <c r="O195" i="1"/>
  <c r="J195" i="1"/>
  <c r="F195" i="1"/>
  <c r="G195" i="1" s="1"/>
  <c r="AK194" i="1"/>
  <c r="AJ194" i="1"/>
  <c r="P194" i="1"/>
  <c r="O194" i="1"/>
  <c r="J194" i="1"/>
  <c r="F194" i="1"/>
  <c r="G194" i="1" s="1"/>
  <c r="AK193" i="1"/>
  <c r="AJ193" i="1"/>
  <c r="P193" i="1"/>
  <c r="O193" i="1"/>
  <c r="F193" i="1"/>
  <c r="G193" i="1" s="1"/>
  <c r="AK192" i="1"/>
  <c r="AJ192" i="1"/>
  <c r="O192" i="1"/>
  <c r="J192" i="1"/>
  <c r="F192" i="1"/>
  <c r="G192" i="1" s="1"/>
  <c r="AK191" i="1"/>
  <c r="AJ191" i="1"/>
  <c r="P191" i="1"/>
  <c r="O191" i="1"/>
  <c r="F191" i="1"/>
  <c r="G191" i="1" s="1"/>
  <c r="AK190" i="1"/>
  <c r="AJ190" i="1"/>
  <c r="P190" i="1"/>
  <c r="O190" i="1"/>
  <c r="J190" i="1"/>
  <c r="F190" i="1"/>
  <c r="G190" i="1" s="1"/>
  <c r="AK189" i="1"/>
  <c r="AJ189" i="1"/>
  <c r="P189" i="1"/>
  <c r="O189" i="1"/>
  <c r="J189" i="1"/>
  <c r="F189" i="1"/>
  <c r="G189" i="1" s="1"/>
  <c r="AK188" i="1"/>
  <c r="AJ188" i="1"/>
  <c r="P188" i="1"/>
  <c r="O188" i="1"/>
  <c r="J188" i="1"/>
  <c r="F188" i="1"/>
  <c r="G188" i="1" s="1"/>
  <c r="AK187" i="1"/>
  <c r="AJ187" i="1"/>
  <c r="P187" i="1"/>
  <c r="O187" i="1"/>
  <c r="J187" i="1"/>
  <c r="F187" i="1"/>
  <c r="G187" i="1" s="1"/>
  <c r="AK186" i="1"/>
  <c r="AJ186" i="1"/>
  <c r="P186" i="1"/>
  <c r="O186" i="1"/>
  <c r="J186" i="1"/>
  <c r="F186" i="1"/>
  <c r="G186" i="1" s="1"/>
  <c r="AK185" i="1"/>
  <c r="AJ185" i="1"/>
  <c r="P185" i="1"/>
  <c r="O185" i="1"/>
  <c r="J185" i="1"/>
  <c r="F185" i="1"/>
  <c r="G185" i="1" s="1"/>
  <c r="AK184" i="1"/>
  <c r="AJ184" i="1"/>
  <c r="P184" i="1"/>
  <c r="O184" i="1"/>
  <c r="J184" i="1"/>
  <c r="F184" i="1"/>
  <c r="G184" i="1" s="1"/>
  <c r="AK183" i="1"/>
  <c r="AJ183" i="1"/>
  <c r="P183" i="1"/>
  <c r="H183" i="1"/>
  <c r="B183" i="1"/>
  <c r="F183" i="1" s="1"/>
  <c r="G183" i="1" s="1"/>
  <c r="AK182" i="1"/>
  <c r="AJ182" i="1"/>
  <c r="P182" i="1"/>
  <c r="O182" i="1"/>
  <c r="J182" i="1"/>
  <c r="F182" i="1"/>
  <c r="G182" i="1" s="1"/>
  <c r="AK181" i="1"/>
  <c r="AJ181" i="1"/>
  <c r="P181" i="1"/>
  <c r="O181" i="1"/>
  <c r="J181" i="1"/>
  <c r="F181" i="1"/>
  <c r="G181" i="1" s="1"/>
  <c r="AK180" i="1"/>
  <c r="AJ180" i="1"/>
  <c r="P180" i="1"/>
  <c r="O180" i="1"/>
  <c r="J180" i="1"/>
  <c r="F180" i="1"/>
  <c r="G180" i="1" s="1"/>
  <c r="AK179" i="1"/>
  <c r="AJ179" i="1"/>
  <c r="P179" i="1"/>
  <c r="O179" i="1"/>
  <c r="J179" i="1"/>
  <c r="F179" i="1"/>
  <c r="G179" i="1" s="1"/>
  <c r="AK178" i="1"/>
  <c r="AJ178" i="1"/>
  <c r="P178" i="1"/>
  <c r="O178" i="1"/>
  <c r="J178" i="1"/>
  <c r="F178" i="1"/>
  <c r="G178" i="1" s="1"/>
  <c r="AK177" i="1"/>
  <c r="AJ177" i="1"/>
  <c r="P177" i="1"/>
  <c r="O177" i="1"/>
  <c r="J177" i="1"/>
  <c r="F177" i="1"/>
  <c r="G177" i="1" s="1"/>
  <c r="AK176" i="1"/>
  <c r="AJ176" i="1"/>
  <c r="P176" i="1"/>
  <c r="O176" i="1"/>
  <c r="J176" i="1"/>
  <c r="F176" i="1"/>
  <c r="G176" i="1" s="1"/>
  <c r="AK175" i="1"/>
  <c r="AJ175" i="1"/>
  <c r="P175" i="1"/>
  <c r="O175" i="1"/>
  <c r="J175" i="1"/>
  <c r="F175" i="1"/>
  <c r="G175" i="1" s="1"/>
  <c r="AK174" i="1"/>
  <c r="AJ174" i="1"/>
  <c r="P174" i="1"/>
  <c r="O174" i="1"/>
  <c r="J174" i="1"/>
  <c r="F174" i="1"/>
  <c r="G174" i="1" s="1"/>
  <c r="AK173" i="1"/>
  <c r="AJ173" i="1"/>
  <c r="P173" i="1"/>
  <c r="O173" i="1"/>
  <c r="J173" i="1"/>
  <c r="F173" i="1"/>
  <c r="G173" i="1" s="1"/>
  <c r="AK172" i="1"/>
  <c r="AJ172" i="1"/>
  <c r="P172" i="1"/>
  <c r="O172" i="1"/>
  <c r="J172" i="1"/>
  <c r="F172" i="1"/>
  <c r="G172" i="1" s="1"/>
  <c r="AK171" i="1"/>
  <c r="AJ171" i="1"/>
  <c r="P171" i="1"/>
  <c r="O171" i="1"/>
  <c r="J171" i="1"/>
  <c r="F171" i="1"/>
  <c r="G171" i="1" s="1"/>
  <c r="AK170" i="1"/>
  <c r="AJ170" i="1"/>
  <c r="P170" i="1"/>
  <c r="O170" i="1"/>
  <c r="J170" i="1"/>
  <c r="F170" i="1"/>
  <c r="G170" i="1" s="1"/>
  <c r="AK169" i="1"/>
  <c r="AJ169" i="1"/>
  <c r="P169" i="1"/>
  <c r="O169" i="1"/>
  <c r="J169" i="1"/>
  <c r="F169" i="1"/>
  <c r="G169" i="1" s="1"/>
  <c r="AK168" i="1"/>
  <c r="AJ168" i="1"/>
  <c r="P168" i="1"/>
  <c r="O168" i="1"/>
  <c r="F168" i="1"/>
  <c r="G168" i="1" s="1"/>
  <c r="O167" i="1"/>
  <c r="F167" i="1"/>
  <c r="G167" i="1" s="1"/>
  <c r="AK166" i="1"/>
  <c r="AJ166" i="1"/>
  <c r="P166" i="1"/>
  <c r="O166" i="1"/>
  <c r="J166" i="1"/>
  <c r="F166" i="1"/>
  <c r="G166" i="1" s="1"/>
  <c r="AK165" i="1"/>
  <c r="AJ165" i="1"/>
  <c r="P165" i="1"/>
  <c r="O165" i="1"/>
  <c r="J165" i="1"/>
  <c r="F165" i="1"/>
  <c r="G165" i="1" s="1"/>
  <c r="AK164" i="1"/>
  <c r="AJ164" i="1"/>
  <c r="P164" i="1"/>
  <c r="H164" i="1"/>
  <c r="O164" i="1" s="1"/>
  <c r="F164" i="1"/>
  <c r="G164" i="1" s="1"/>
  <c r="AK163" i="1"/>
  <c r="AJ163" i="1"/>
  <c r="O163" i="1"/>
  <c r="J163" i="1"/>
  <c r="F163" i="1"/>
  <c r="G163" i="1" s="1"/>
  <c r="AK162" i="1"/>
  <c r="AJ162" i="1"/>
  <c r="O162" i="1"/>
  <c r="J162" i="1"/>
  <c r="F162" i="1"/>
  <c r="G162" i="1" s="1"/>
  <c r="AK161" i="1"/>
  <c r="AJ161" i="1"/>
  <c r="P161" i="1"/>
  <c r="O161" i="1"/>
  <c r="J161" i="1"/>
  <c r="F161" i="1"/>
  <c r="G161" i="1" s="1"/>
  <c r="AK160" i="1"/>
  <c r="AJ160" i="1"/>
  <c r="P160" i="1"/>
  <c r="O160" i="1"/>
  <c r="J160" i="1"/>
  <c r="F160" i="1"/>
  <c r="G160" i="1" s="1"/>
  <c r="AK159" i="1"/>
  <c r="AJ159" i="1"/>
  <c r="O159" i="1"/>
  <c r="J159" i="1"/>
  <c r="F159" i="1"/>
  <c r="G159" i="1" s="1"/>
  <c r="AK158" i="1"/>
  <c r="AJ158" i="1"/>
  <c r="P158" i="1"/>
  <c r="O158" i="1"/>
  <c r="J158" i="1"/>
  <c r="F158" i="1"/>
  <c r="G158" i="1" s="1"/>
  <c r="AK157" i="1"/>
  <c r="AJ157" i="1"/>
  <c r="P157" i="1"/>
  <c r="O157" i="1"/>
  <c r="J157" i="1"/>
  <c r="F157" i="1"/>
  <c r="G157" i="1" s="1"/>
  <c r="AK156" i="1"/>
  <c r="AJ156" i="1"/>
  <c r="P156" i="1"/>
  <c r="O156" i="1"/>
  <c r="J156" i="1"/>
  <c r="F156" i="1"/>
  <c r="G156" i="1" s="1"/>
  <c r="AK155" i="1"/>
  <c r="AJ155" i="1"/>
  <c r="P155" i="1"/>
  <c r="O155" i="1"/>
  <c r="J155" i="1"/>
  <c r="F155" i="1"/>
  <c r="G155" i="1" s="1"/>
  <c r="AK154" i="1"/>
  <c r="AJ154" i="1"/>
  <c r="O154" i="1"/>
  <c r="J154" i="1"/>
  <c r="F154" i="1"/>
  <c r="G154" i="1" s="1"/>
  <c r="AK153" i="1"/>
  <c r="AJ153" i="1"/>
  <c r="P153" i="1"/>
  <c r="O153" i="1"/>
  <c r="J153" i="1"/>
  <c r="F153" i="1"/>
  <c r="G153" i="1" s="1"/>
  <c r="AK152" i="1"/>
  <c r="AJ152" i="1"/>
  <c r="P152" i="1"/>
  <c r="O152" i="1"/>
  <c r="J152" i="1"/>
  <c r="F152" i="1"/>
  <c r="G152" i="1" s="1"/>
  <c r="AK151" i="1"/>
  <c r="AJ151" i="1"/>
  <c r="P151" i="1"/>
  <c r="O151" i="1"/>
  <c r="J151" i="1"/>
  <c r="F151" i="1"/>
  <c r="G151" i="1" s="1"/>
  <c r="AK150" i="1"/>
  <c r="AJ150" i="1"/>
  <c r="O150" i="1"/>
  <c r="F150" i="1"/>
  <c r="G150" i="1" s="1"/>
  <c r="AK149" i="1"/>
  <c r="AJ149" i="1"/>
  <c r="P149" i="1"/>
  <c r="O149" i="1"/>
  <c r="J149" i="1"/>
  <c r="F149" i="1"/>
  <c r="G149" i="1" s="1"/>
  <c r="AK148" i="1"/>
  <c r="AJ148" i="1"/>
  <c r="P148" i="1"/>
  <c r="O148" i="1"/>
  <c r="J148" i="1"/>
  <c r="F148" i="1"/>
  <c r="G148" i="1" s="1"/>
  <c r="AK147" i="1"/>
  <c r="AJ147" i="1"/>
  <c r="P147" i="1"/>
  <c r="O147" i="1"/>
  <c r="J147" i="1"/>
  <c r="F147" i="1"/>
  <c r="G147" i="1" s="1"/>
  <c r="AK146" i="1"/>
  <c r="AJ146" i="1"/>
  <c r="P146" i="1"/>
  <c r="O146" i="1"/>
  <c r="J146" i="1"/>
  <c r="F146" i="1"/>
  <c r="G146" i="1" s="1"/>
  <c r="AK145" i="1"/>
  <c r="AJ145" i="1"/>
  <c r="P145" i="1"/>
  <c r="O145" i="1"/>
  <c r="J145" i="1"/>
  <c r="G145" i="1"/>
  <c r="AJ144" i="1"/>
  <c r="R144" i="1"/>
  <c r="AK144" i="1" s="1"/>
  <c r="P144" i="1"/>
  <c r="O144" i="1"/>
  <c r="J144" i="1"/>
  <c r="F144" i="1"/>
  <c r="G144" i="1" s="1"/>
  <c r="AK143" i="1"/>
  <c r="AJ143" i="1"/>
  <c r="O143" i="1"/>
  <c r="J143" i="1"/>
  <c r="F143" i="1"/>
  <c r="G143" i="1" s="1"/>
  <c r="AK142" i="1"/>
  <c r="AJ142" i="1"/>
  <c r="O142" i="1"/>
  <c r="J142" i="1"/>
  <c r="F142" i="1"/>
  <c r="G142" i="1" s="1"/>
  <c r="AK141" i="1"/>
  <c r="AJ141" i="1"/>
  <c r="O141" i="1"/>
  <c r="J141" i="1"/>
  <c r="F141" i="1"/>
  <c r="G141" i="1" s="1"/>
  <c r="AK140" i="1"/>
  <c r="AJ140" i="1"/>
  <c r="O140" i="1"/>
  <c r="J140" i="1"/>
  <c r="F140" i="1"/>
  <c r="G140" i="1" s="1"/>
  <c r="AK139" i="1"/>
  <c r="AJ139" i="1"/>
  <c r="O139" i="1"/>
  <c r="J139" i="1"/>
  <c r="F139" i="1"/>
  <c r="G139" i="1" s="1"/>
  <c r="AK138" i="1"/>
  <c r="AJ138" i="1"/>
  <c r="O138" i="1"/>
  <c r="J138" i="1"/>
  <c r="F138" i="1"/>
  <c r="G138" i="1" s="1"/>
  <c r="AK137" i="1"/>
  <c r="AJ137" i="1"/>
  <c r="O137" i="1"/>
  <c r="J137" i="1"/>
  <c r="F137" i="1"/>
  <c r="G137" i="1" s="1"/>
  <c r="AK136" i="1"/>
  <c r="AJ136" i="1"/>
  <c r="O136" i="1"/>
  <c r="J136" i="1"/>
  <c r="F136" i="1"/>
  <c r="G136" i="1" s="1"/>
  <c r="AJ135" i="1"/>
  <c r="R135" i="1"/>
  <c r="AK135" i="1" s="1"/>
  <c r="O135" i="1"/>
  <c r="J135" i="1"/>
  <c r="F135" i="1"/>
  <c r="G135" i="1" s="1"/>
  <c r="AJ134" i="1"/>
  <c r="R134" i="1"/>
  <c r="AK134" i="1" s="1"/>
  <c r="O134" i="1"/>
  <c r="J134" i="1"/>
  <c r="F134" i="1"/>
  <c r="G134" i="1" s="1"/>
  <c r="AK133" i="1"/>
  <c r="AJ133" i="1"/>
  <c r="O133" i="1"/>
  <c r="J133" i="1"/>
  <c r="F133" i="1"/>
  <c r="G133" i="1" s="1"/>
  <c r="AK132" i="1"/>
  <c r="AJ132" i="1"/>
  <c r="O132" i="1"/>
  <c r="J132" i="1"/>
  <c r="F132" i="1"/>
  <c r="G132" i="1" s="1"/>
  <c r="AK131" i="1"/>
  <c r="AJ131" i="1"/>
  <c r="O131" i="1"/>
  <c r="J131" i="1"/>
  <c r="F131" i="1"/>
  <c r="G131" i="1" s="1"/>
  <c r="AK130" i="1"/>
  <c r="AJ130" i="1"/>
  <c r="O130" i="1"/>
  <c r="J130" i="1"/>
  <c r="F130" i="1"/>
  <c r="G130" i="1" s="1"/>
  <c r="AK129" i="1"/>
  <c r="AJ129" i="1"/>
  <c r="O129" i="1"/>
  <c r="J129" i="1"/>
  <c r="F129" i="1"/>
  <c r="G129" i="1" s="1"/>
  <c r="AK128" i="1"/>
  <c r="AJ128" i="1"/>
  <c r="O128" i="1"/>
  <c r="J128" i="1"/>
  <c r="F128" i="1"/>
  <c r="G128" i="1" s="1"/>
  <c r="AK127" i="1"/>
  <c r="AJ127" i="1"/>
  <c r="O127" i="1"/>
  <c r="J127" i="1"/>
  <c r="F127" i="1"/>
  <c r="G127" i="1" s="1"/>
  <c r="AK126" i="1"/>
  <c r="AJ126" i="1"/>
  <c r="O126" i="1"/>
  <c r="J126" i="1"/>
  <c r="F126" i="1"/>
  <c r="G126" i="1" s="1"/>
  <c r="AK125" i="1"/>
  <c r="AJ125" i="1"/>
  <c r="O125" i="1"/>
  <c r="J125" i="1"/>
  <c r="F125" i="1"/>
  <c r="G125" i="1" s="1"/>
  <c r="AK124" i="1"/>
  <c r="AJ124" i="1"/>
  <c r="O124" i="1"/>
  <c r="J124" i="1"/>
  <c r="F124" i="1"/>
  <c r="G124" i="1" s="1"/>
  <c r="AK123" i="1"/>
  <c r="AJ123" i="1"/>
  <c r="O123" i="1"/>
  <c r="J123" i="1"/>
  <c r="F123" i="1"/>
  <c r="G123" i="1" s="1"/>
  <c r="AK122" i="1"/>
  <c r="AJ122" i="1"/>
  <c r="O122" i="1"/>
  <c r="J122" i="1"/>
  <c r="F122" i="1"/>
  <c r="G122" i="1" s="1"/>
  <c r="AK121" i="1"/>
  <c r="AJ121" i="1"/>
  <c r="O121" i="1"/>
  <c r="J121" i="1"/>
  <c r="F121" i="1"/>
  <c r="G121" i="1" s="1"/>
  <c r="AK120" i="1"/>
  <c r="AJ120" i="1"/>
  <c r="O120" i="1"/>
  <c r="J120" i="1"/>
  <c r="F120" i="1"/>
  <c r="G120" i="1" s="1"/>
  <c r="AK119" i="1"/>
  <c r="AJ119" i="1"/>
  <c r="O119" i="1"/>
  <c r="J119" i="1"/>
  <c r="F119" i="1"/>
  <c r="G119" i="1" s="1"/>
  <c r="AK118" i="1"/>
  <c r="AJ118" i="1"/>
  <c r="O118" i="1"/>
  <c r="J118" i="1"/>
  <c r="F118" i="1"/>
  <c r="G118" i="1" s="1"/>
  <c r="AK117" i="1"/>
  <c r="AJ117" i="1"/>
  <c r="O117" i="1"/>
  <c r="J117" i="1"/>
  <c r="F117" i="1"/>
  <c r="G117" i="1" s="1"/>
  <c r="AK116" i="1"/>
  <c r="AJ116" i="1"/>
  <c r="O116" i="1"/>
  <c r="J116" i="1"/>
  <c r="F116" i="1"/>
  <c r="G116" i="1" s="1"/>
  <c r="AK115" i="1"/>
  <c r="AJ115" i="1"/>
  <c r="O115" i="1"/>
  <c r="J115" i="1"/>
  <c r="F115" i="1"/>
  <c r="G115" i="1" s="1"/>
  <c r="AK114" i="1"/>
  <c r="AJ114" i="1"/>
  <c r="O114" i="1"/>
  <c r="J114" i="1"/>
  <c r="F114" i="1"/>
  <c r="G114" i="1" s="1"/>
  <c r="AK113" i="1"/>
  <c r="AJ113" i="1"/>
  <c r="O113" i="1"/>
  <c r="J113" i="1"/>
  <c r="F113" i="1"/>
  <c r="G113" i="1" s="1"/>
  <c r="AK112" i="1"/>
  <c r="AJ112" i="1"/>
  <c r="O112" i="1"/>
  <c r="J112" i="1"/>
  <c r="F112" i="1"/>
  <c r="G112" i="1" s="1"/>
  <c r="AK111" i="1"/>
  <c r="AJ111" i="1"/>
  <c r="O111" i="1"/>
  <c r="J111" i="1"/>
  <c r="F111" i="1"/>
  <c r="G111" i="1" s="1"/>
  <c r="AK110" i="1"/>
  <c r="AJ110" i="1"/>
  <c r="O110" i="1"/>
  <c r="J110" i="1"/>
  <c r="F110" i="1"/>
  <c r="G110" i="1" s="1"/>
  <c r="AJ109" i="1"/>
  <c r="R109" i="1"/>
  <c r="AK109" i="1" s="1"/>
  <c r="O109" i="1"/>
  <c r="J109" i="1"/>
  <c r="F109" i="1"/>
  <c r="G109" i="1" s="1"/>
  <c r="AK108" i="1"/>
  <c r="AJ108" i="1"/>
  <c r="O108" i="1"/>
  <c r="J108" i="1"/>
  <c r="F108" i="1"/>
  <c r="G108" i="1" s="1"/>
  <c r="AJ107" i="1"/>
  <c r="R107" i="1"/>
  <c r="AK107" i="1" s="1"/>
  <c r="O107" i="1"/>
  <c r="J107" i="1"/>
  <c r="F107" i="1"/>
  <c r="G107" i="1" s="1"/>
  <c r="AK106" i="1"/>
  <c r="O106" i="1"/>
  <c r="J106" i="1"/>
  <c r="F106" i="1"/>
  <c r="G106" i="1" s="1"/>
  <c r="AM105" i="1"/>
  <c r="AK105" i="1"/>
  <c r="AJ105" i="1"/>
  <c r="O105" i="1"/>
  <c r="J105" i="1"/>
  <c r="F105" i="1"/>
  <c r="G105" i="1" s="1"/>
  <c r="AK104" i="1"/>
  <c r="AJ104" i="1"/>
  <c r="O104" i="1"/>
  <c r="J104" i="1"/>
  <c r="F104" i="1"/>
  <c r="G104" i="1" s="1"/>
  <c r="AK103" i="1"/>
  <c r="AJ103" i="1"/>
  <c r="O103" i="1"/>
  <c r="J103" i="1"/>
  <c r="F103" i="1"/>
  <c r="G103" i="1" s="1"/>
  <c r="AK102" i="1"/>
  <c r="AJ102" i="1"/>
  <c r="O102" i="1"/>
  <c r="J102" i="1"/>
  <c r="F102" i="1"/>
  <c r="G102" i="1" s="1"/>
  <c r="AK101" i="1"/>
  <c r="AJ101" i="1"/>
  <c r="O101" i="1"/>
  <c r="J101" i="1"/>
  <c r="F101" i="1"/>
  <c r="G101" i="1" s="1"/>
  <c r="AJ100" i="1"/>
  <c r="R100" i="1"/>
  <c r="AK100" i="1" s="1"/>
  <c r="O100" i="1"/>
  <c r="J100" i="1"/>
  <c r="F100" i="1"/>
  <c r="G100" i="1" s="1"/>
  <c r="AK99" i="1"/>
  <c r="AJ99" i="1"/>
  <c r="O99" i="1"/>
  <c r="J99" i="1"/>
  <c r="F99" i="1"/>
  <c r="G99" i="1" s="1"/>
  <c r="AJ98" i="1"/>
  <c r="R98" i="1"/>
  <c r="AK98" i="1" s="1"/>
  <c r="O98" i="1"/>
  <c r="J98" i="1"/>
  <c r="F98" i="1"/>
  <c r="G98" i="1" s="1"/>
  <c r="AK97" i="1"/>
  <c r="O97" i="1"/>
  <c r="J97" i="1"/>
  <c r="F97" i="1"/>
  <c r="G97" i="1" s="1"/>
  <c r="AK96" i="1"/>
  <c r="AJ96" i="1"/>
  <c r="O96" i="1"/>
  <c r="J96" i="1"/>
  <c r="F96" i="1"/>
  <c r="G96" i="1" s="1"/>
  <c r="AJ95" i="1"/>
  <c r="R95" i="1"/>
  <c r="AK95" i="1" s="1"/>
  <c r="O95" i="1"/>
  <c r="J95" i="1"/>
  <c r="F95" i="1"/>
  <c r="G95" i="1" s="1"/>
  <c r="AJ94" i="1"/>
  <c r="R94" i="1"/>
  <c r="AK94" i="1" s="1"/>
  <c r="O94" i="1"/>
  <c r="J94" i="1"/>
  <c r="F94" i="1"/>
  <c r="G94" i="1" s="1"/>
  <c r="AK93" i="1"/>
  <c r="AJ93" i="1"/>
  <c r="O93" i="1"/>
  <c r="J93" i="1"/>
  <c r="F93" i="1"/>
  <c r="G93" i="1" s="1"/>
  <c r="AK92" i="1"/>
  <c r="AJ92" i="1"/>
  <c r="O92" i="1"/>
  <c r="J92" i="1"/>
  <c r="F92" i="1"/>
  <c r="G92" i="1" s="1"/>
  <c r="AK91" i="1"/>
  <c r="AJ91" i="1"/>
  <c r="O91" i="1"/>
  <c r="J91" i="1"/>
  <c r="F91" i="1"/>
  <c r="G91" i="1" s="1"/>
  <c r="AK90" i="1"/>
  <c r="AJ90" i="1"/>
  <c r="O90" i="1"/>
  <c r="J90" i="1"/>
  <c r="F90" i="1"/>
  <c r="G90" i="1" s="1"/>
  <c r="AK89" i="1"/>
  <c r="AJ89" i="1"/>
  <c r="O89" i="1"/>
  <c r="J89" i="1"/>
  <c r="F89" i="1"/>
  <c r="G89" i="1" s="1"/>
  <c r="AK88" i="1"/>
  <c r="AJ88" i="1"/>
  <c r="O88" i="1"/>
  <c r="J88" i="1"/>
  <c r="F88" i="1"/>
  <c r="G88" i="1" s="1"/>
  <c r="AK87" i="1"/>
  <c r="AJ87" i="1"/>
  <c r="O87" i="1"/>
  <c r="J87" i="1"/>
  <c r="F87" i="1"/>
  <c r="G87" i="1" s="1"/>
  <c r="AJ86" i="1"/>
  <c r="R86" i="1"/>
  <c r="AK86" i="1" s="1"/>
  <c r="O86" i="1"/>
  <c r="J86" i="1"/>
  <c r="F86" i="1"/>
  <c r="G86" i="1" s="1"/>
  <c r="AK85" i="1"/>
  <c r="AJ85" i="1"/>
  <c r="O85" i="1"/>
  <c r="J85" i="1"/>
  <c r="F85" i="1"/>
  <c r="G85" i="1" s="1"/>
  <c r="AK84" i="1"/>
  <c r="AJ84" i="1"/>
  <c r="O84" i="1"/>
  <c r="J84" i="1"/>
  <c r="F84" i="1"/>
  <c r="G84" i="1" s="1"/>
  <c r="AK83" i="1"/>
  <c r="AJ83" i="1"/>
  <c r="O83" i="1"/>
  <c r="J83" i="1"/>
  <c r="F83" i="1"/>
  <c r="G83" i="1" s="1"/>
  <c r="AK82" i="1"/>
  <c r="O82" i="1"/>
  <c r="J82" i="1"/>
  <c r="F82" i="1"/>
  <c r="G82" i="1" s="1"/>
  <c r="AK81" i="1"/>
  <c r="O81" i="1"/>
  <c r="J81" i="1"/>
  <c r="F81" i="1"/>
  <c r="G81" i="1" s="1"/>
  <c r="AK80" i="1"/>
  <c r="O80" i="1"/>
  <c r="J80" i="1"/>
  <c r="F80" i="1"/>
  <c r="G80" i="1" s="1"/>
  <c r="AK79" i="1"/>
  <c r="O79" i="1"/>
  <c r="J79" i="1"/>
  <c r="F79" i="1"/>
  <c r="G79" i="1" s="1"/>
  <c r="AK78" i="1"/>
  <c r="O78" i="1"/>
  <c r="J78" i="1"/>
  <c r="F78" i="1"/>
  <c r="G78" i="1" s="1"/>
  <c r="AK77" i="1"/>
  <c r="O77" i="1"/>
  <c r="J77" i="1"/>
  <c r="F77" i="1"/>
  <c r="G77" i="1" s="1"/>
  <c r="AK76" i="1"/>
  <c r="O76" i="1"/>
  <c r="J76" i="1"/>
  <c r="F76" i="1"/>
  <c r="G76" i="1" s="1"/>
  <c r="AK75" i="1"/>
  <c r="O75" i="1"/>
  <c r="J75" i="1"/>
  <c r="F75" i="1"/>
  <c r="G75" i="1" s="1"/>
  <c r="AK74" i="1"/>
  <c r="O74" i="1"/>
  <c r="J74" i="1"/>
  <c r="F74" i="1"/>
  <c r="G74" i="1" s="1"/>
  <c r="AK73" i="1"/>
  <c r="O73" i="1"/>
  <c r="J73" i="1"/>
  <c r="F73" i="1"/>
  <c r="G73" i="1" s="1"/>
  <c r="AK72" i="1"/>
  <c r="AJ72" i="1"/>
  <c r="O72" i="1"/>
  <c r="J72" i="1"/>
  <c r="F72" i="1"/>
  <c r="G72" i="1" s="1"/>
  <c r="AK71" i="1"/>
  <c r="AJ71" i="1"/>
  <c r="O71" i="1"/>
  <c r="J71" i="1"/>
  <c r="F71" i="1"/>
  <c r="G71" i="1" s="1"/>
  <c r="AK70" i="1"/>
  <c r="AJ70" i="1"/>
  <c r="O70" i="1"/>
  <c r="J70" i="1"/>
  <c r="F70" i="1"/>
  <c r="G70" i="1" s="1"/>
  <c r="AK69" i="1"/>
  <c r="AJ69" i="1"/>
  <c r="O69" i="1"/>
  <c r="J69" i="1"/>
  <c r="F69" i="1"/>
  <c r="G69" i="1" s="1"/>
  <c r="AK68" i="1"/>
  <c r="O68" i="1"/>
  <c r="J68" i="1"/>
  <c r="F68" i="1"/>
  <c r="G68" i="1" s="1"/>
  <c r="AK67" i="1"/>
  <c r="AJ67" i="1"/>
  <c r="O67" i="1"/>
  <c r="J67" i="1"/>
  <c r="F67" i="1"/>
  <c r="G67" i="1" s="1"/>
  <c r="AK66" i="1"/>
  <c r="O66" i="1"/>
  <c r="J66" i="1"/>
  <c r="F66" i="1"/>
  <c r="G66" i="1" s="1"/>
  <c r="AK65" i="1"/>
  <c r="O65" i="1"/>
  <c r="J65" i="1"/>
  <c r="F65" i="1"/>
  <c r="G65" i="1" s="1"/>
  <c r="AK64" i="1"/>
  <c r="O64" i="1"/>
  <c r="J64" i="1"/>
  <c r="F64" i="1"/>
  <c r="G64" i="1" s="1"/>
  <c r="AK63" i="1"/>
  <c r="AJ63" i="1"/>
  <c r="O63" i="1"/>
  <c r="J63" i="1"/>
  <c r="F63" i="1"/>
  <c r="G63" i="1" s="1"/>
  <c r="AK62" i="1"/>
  <c r="O62" i="1"/>
  <c r="J62" i="1"/>
  <c r="F62" i="1"/>
  <c r="G62" i="1" s="1"/>
  <c r="AK61" i="1"/>
  <c r="O61" i="1"/>
  <c r="J61" i="1"/>
  <c r="F61" i="1"/>
  <c r="G61" i="1" s="1"/>
  <c r="AK60" i="1"/>
  <c r="O60" i="1"/>
  <c r="J60" i="1"/>
  <c r="F60" i="1"/>
  <c r="G60" i="1" s="1"/>
  <c r="AK59" i="1"/>
  <c r="O59" i="1"/>
  <c r="J59" i="1"/>
  <c r="F59" i="1"/>
  <c r="G59" i="1" s="1"/>
  <c r="AK58" i="1"/>
  <c r="O58" i="1"/>
  <c r="J58" i="1"/>
  <c r="F58" i="1"/>
  <c r="G58" i="1" s="1"/>
  <c r="AK57" i="1"/>
  <c r="O57" i="1"/>
  <c r="J57" i="1"/>
  <c r="F57" i="1"/>
  <c r="G57" i="1" s="1"/>
  <c r="AK56" i="1"/>
  <c r="O56" i="1"/>
  <c r="J56" i="1"/>
  <c r="F56" i="1"/>
  <c r="G56" i="1" s="1"/>
  <c r="AK55" i="1"/>
  <c r="O55" i="1"/>
  <c r="J55" i="1"/>
  <c r="F55" i="1"/>
  <c r="G55" i="1" s="1"/>
  <c r="AK54" i="1"/>
  <c r="O54" i="1"/>
  <c r="J54" i="1"/>
  <c r="F54" i="1"/>
  <c r="G54" i="1" s="1"/>
  <c r="AK53" i="1"/>
  <c r="O53" i="1"/>
  <c r="J53" i="1"/>
  <c r="F53" i="1"/>
  <c r="G53" i="1" s="1"/>
  <c r="AK52" i="1"/>
  <c r="O52" i="1"/>
  <c r="J52" i="1"/>
  <c r="F52" i="1"/>
  <c r="G52" i="1" s="1"/>
  <c r="AK51" i="1"/>
  <c r="O51" i="1"/>
  <c r="J51" i="1"/>
  <c r="F51" i="1"/>
  <c r="G51" i="1" s="1"/>
  <c r="AK50" i="1"/>
  <c r="O50" i="1"/>
  <c r="J50" i="1"/>
  <c r="F50" i="1"/>
  <c r="G50" i="1" s="1"/>
  <c r="AK49" i="1"/>
  <c r="O49" i="1"/>
  <c r="J49" i="1"/>
  <c r="F49" i="1"/>
  <c r="G49" i="1" s="1"/>
  <c r="AK48" i="1"/>
  <c r="O48" i="1"/>
  <c r="J48" i="1"/>
  <c r="F48" i="1"/>
  <c r="G48" i="1" s="1"/>
  <c r="AK47" i="1"/>
  <c r="O47" i="1"/>
  <c r="J47" i="1"/>
  <c r="F47" i="1"/>
  <c r="G47" i="1" s="1"/>
  <c r="AK46" i="1"/>
  <c r="O46" i="1"/>
  <c r="J46" i="1"/>
  <c r="F46" i="1"/>
  <c r="G46" i="1" s="1"/>
  <c r="AK45" i="1"/>
  <c r="O45" i="1"/>
  <c r="J45" i="1"/>
  <c r="F45" i="1"/>
  <c r="G45" i="1" s="1"/>
  <c r="AK44" i="1"/>
  <c r="O44" i="1"/>
  <c r="J44" i="1"/>
  <c r="F44" i="1"/>
  <c r="G44" i="1" s="1"/>
  <c r="AK43" i="1"/>
  <c r="O43" i="1"/>
  <c r="J43" i="1"/>
  <c r="F43" i="1"/>
  <c r="G43" i="1" s="1"/>
  <c r="AK42" i="1"/>
  <c r="O42" i="1"/>
  <c r="J42" i="1"/>
  <c r="F42" i="1"/>
  <c r="G42" i="1" s="1"/>
  <c r="AK41" i="1"/>
  <c r="O41" i="1"/>
  <c r="J41" i="1"/>
  <c r="F41" i="1"/>
  <c r="G41" i="1" s="1"/>
  <c r="AK40" i="1"/>
  <c r="O40" i="1"/>
  <c r="J40" i="1"/>
  <c r="F40" i="1"/>
  <c r="G40" i="1" s="1"/>
  <c r="AK39" i="1"/>
  <c r="O39" i="1"/>
  <c r="J39" i="1"/>
  <c r="F39" i="1"/>
  <c r="G39" i="1" s="1"/>
  <c r="AK38" i="1"/>
  <c r="O38" i="1"/>
  <c r="J38" i="1"/>
  <c r="F38" i="1"/>
  <c r="G38" i="1" s="1"/>
  <c r="AK37" i="1"/>
  <c r="O37" i="1"/>
  <c r="J37" i="1"/>
  <c r="F37" i="1"/>
  <c r="G37" i="1" s="1"/>
  <c r="AK36" i="1"/>
  <c r="O36" i="1"/>
  <c r="J36" i="1"/>
  <c r="F36" i="1"/>
  <c r="G36" i="1" s="1"/>
  <c r="AK35" i="1"/>
  <c r="O35" i="1"/>
  <c r="J35" i="1"/>
  <c r="F35" i="1"/>
  <c r="G35" i="1" s="1"/>
  <c r="AK34" i="1"/>
  <c r="O34" i="1"/>
  <c r="J34" i="1"/>
  <c r="F34" i="1"/>
  <c r="G34" i="1" s="1"/>
  <c r="AK33" i="1"/>
  <c r="O33" i="1"/>
  <c r="J33" i="1"/>
  <c r="F33" i="1"/>
  <c r="G33" i="1" s="1"/>
  <c r="AK32" i="1"/>
  <c r="O32" i="1"/>
  <c r="J32" i="1"/>
  <c r="F32" i="1"/>
  <c r="G32" i="1" s="1"/>
  <c r="AK31" i="1"/>
  <c r="O31" i="1"/>
  <c r="J31" i="1"/>
  <c r="F31" i="1"/>
  <c r="G31" i="1" s="1"/>
  <c r="AK30" i="1"/>
  <c r="O30" i="1"/>
  <c r="J30" i="1"/>
  <c r="F30" i="1"/>
  <c r="G30" i="1" s="1"/>
  <c r="AK29" i="1"/>
  <c r="O29" i="1"/>
  <c r="J29" i="1"/>
  <c r="F29" i="1"/>
  <c r="G29" i="1" s="1"/>
  <c r="AK28" i="1"/>
  <c r="O28" i="1"/>
  <c r="J28" i="1"/>
  <c r="F28" i="1"/>
  <c r="G28" i="1" s="1"/>
  <c r="AK27" i="1"/>
  <c r="O27" i="1"/>
  <c r="J27" i="1"/>
  <c r="F27" i="1"/>
  <c r="G27" i="1" s="1"/>
  <c r="AK26" i="1"/>
  <c r="O26" i="1"/>
  <c r="J26" i="1"/>
  <c r="F26" i="1"/>
  <c r="G26" i="1" s="1"/>
  <c r="AK25" i="1"/>
  <c r="O25" i="1"/>
  <c r="J25" i="1"/>
  <c r="F25" i="1"/>
  <c r="G25" i="1" s="1"/>
  <c r="AK24" i="1"/>
  <c r="O24" i="1"/>
  <c r="J24" i="1"/>
  <c r="F24" i="1"/>
  <c r="G24" i="1" s="1"/>
  <c r="AK23" i="1"/>
  <c r="O23" i="1"/>
  <c r="J23" i="1"/>
  <c r="F23" i="1"/>
  <c r="G23" i="1" s="1"/>
  <c r="AK22" i="1"/>
  <c r="O22" i="1"/>
  <c r="J22" i="1"/>
  <c r="F22" i="1"/>
  <c r="G22" i="1" s="1"/>
  <c r="AK21" i="1"/>
  <c r="O21" i="1"/>
  <c r="J21" i="1"/>
  <c r="F21" i="1"/>
  <c r="G21" i="1" s="1"/>
  <c r="AK20" i="1"/>
  <c r="O20" i="1"/>
  <c r="J20" i="1"/>
  <c r="F20" i="1"/>
  <c r="G20" i="1" s="1"/>
  <c r="AK19" i="1"/>
  <c r="O19" i="1"/>
  <c r="J19" i="1"/>
  <c r="F19" i="1"/>
  <c r="G19" i="1" s="1"/>
  <c r="AK18" i="1"/>
  <c r="O18" i="1"/>
  <c r="J18" i="1"/>
  <c r="F18" i="1"/>
  <c r="G18" i="1" s="1"/>
  <c r="AK17" i="1"/>
  <c r="O17" i="1"/>
  <c r="J17" i="1"/>
  <c r="C17" i="1"/>
  <c r="F17" i="1" s="1"/>
  <c r="G17" i="1" s="1"/>
  <c r="AK16" i="1"/>
  <c r="O16" i="1"/>
  <c r="J16" i="1"/>
  <c r="F16" i="1"/>
  <c r="G16" i="1" s="1"/>
  <c r="AK15" i="1"/>
  <c r="O15" i="1"/>
  <c r="J15" i="1"/>
  <c r="F15" i="1"/>
  <c r="G15" i="1" s="1"/>
  <c r="AK14" i="1"/>
  <c r="O14" i="1"/>
  <c r="J14" i="1"/>
  <c r="F14" i="1"/>
  <c r="G14" i="1" s="1"/>
  <c r="AK13" i="1"/>
  <c r="O13" i="1"/>
  <c r="J13" i="1"/>
  <c r="F13" i="1"/>
  <c r="G13" i="1" s="1"/>
  <c r="AK12" i="1"/>
  <c r="O12" i="1"/>
  <c r="J12" i="1"/>
  <c r="F12" i="1"/>
  <c r="G12" i="1" s="1"/>
  <c r="AK11" i="1"/>
  <c r="P11" i="1"/>
  <c r="O11" i="1"/>
  <c r="J11" i="1"/>
  <c r="F11" i="1"/>
  <c r="G11" i="1" s="1"/>
  <c r="AK10" i="1"/>
  <c r="AN10" i="1" s="1"/>
  <c r="AM9" i="1"/>
  <c r="AK9" i="1"/>
  <c r="O9" i="1"/>
  <c r="J9" i="1"/>
  <c r="F9" i="1"/>
  <c r="G9" i="1" s="1"/>
  <c r="AK8" i="1"/>
  <c r="O8" i="1"/>
  <c r="J8" i="1"/>
  <c r="F8" i="1"/>
  <c r="G8" i="1" s="1"/>
  <c r="AK7" i="1"/>
  <c r="O7" i="1"/>
  <c r="J7" i="1"/>
  <c r="F7" i="1"/>
  <c r="G7" i="1" s="1"/>
  <c r="AK6" i="1"/>
  <c r="O6" i="1"/>
  <c r="J6" i="1"/>
  <c r="F6" i="1"/>
  <c r="G6" i="1" s="1"/>
  <c r="AK5" i="1"/>
  <c r="O5" i="1"/>
  <c r="J5" i="1"/>
  <c r="F5" i="1"/>
  <c r="G5" i="1" s="1"/>
  <c r="AJ255" i="1" l="1"/>
  <c r="AJ267" i="1"/>
  <c r="AJ254" i="1"/>
  <c r="AJ262" i="1"/>
  <c r="AN57" i="1"/>
  <c r="AN62" i="1"/>
  <c r="AN141" i="1"/>
  <c r="AJ257" i="1"/>
  <c r="AN7" i="1"/>
  <c r="AN20" i="1"/>
  <c r="AN21" i="1"/>
  <c r="AN24" i="1"/>
  <c r="AN80" i="1"/>
  <c r="AN13" i="1"/>
  <c r="AN14" i="1"/>
  <c r="AN29" i="1"/>
  <c r="AN52" i="1"/>
  <c r="AN56" i="1"/>
  <c r="AN125" i="1"/>
  <c r="AJ251" i="1"/>
  <c r="AJ256" i="1"/>
  <c r="AJ260" i="1"/>
  <c r="AJ268" i="1"/>
  <c r="AJ272" i="1"/>
  <c r="AN40" i="1"/>
  <c r="AN41" i="1"/>
  <c r="AN45" i="1"/>
  <c r="AN81" i="1"/>
  <c r="AN79" i="1"/>
  <c r="AJ266" i="1"/>
  <c r="AJ270" i="1"/>
  <c r="AN96" i="1"/>
  <c r="AN32" i="1"/>
  <c r="AN44" i="1"/>
  <c r="AN73" i="1"/>
  <c r="AN98" i="1"/>
  <c r="AN23" i="1"/>
  <c r="AN25" i="1"/>
  <c r="AN28" i="1"/>
  <c r="AN36" i="1"/>
  <c r="AN37" i="1"/>
  <c r="AN48" i="1"/>
  <c r="AN49" i="1"/>
  <c r="AN66" i="1"/>
  <c r="AN76" i="1"/>
  <c r="AN109" i="1"/>
  <c r="AN145" i="1"/>
  <c r="AN162" i="1"/>
  <c r="AN212" i="1"/>
  <c r="AJ258" i="1"/>
  <c r="AJ269" i="1"/>
  <c r="AN55" i="1"/>
  <c r="AN33" i="1"/>
  <c r="AN53" i="1"/>
  <c r="AN174" i="1"/>
  <c r="AN200" i="1"/>
  <c r="AN17" i="1"/>
  <c r="AN65" i="1"/>
  <c r="AN78" i="1"/>
  <c r="AN95" i="1"/>
  <c r="AN133" i="1"/>
  <c r="AN173" i="1"/>
  <c r="AN193" i="1"/>
  <c r="AN218" i="1"/>
  <c r="AN39" i="1"/>
  <c r="AN19" i="1"/>
  <c r="AN35" i="1"/>
  <c r="AN50" i="1"/>
  <c r="AN51" i="1"/>
  <c r="AN68" i="1"/>
  <c r="AN77" i="1"/>
  <c r="AN87" i="1"/>
  <c r="AN91" i="1"/>
  <c r="AN119" i="1"/>
  <c r="AN123" i="1"/>
  <c r="AN138" i="1"/>
  <c r="AN154" i="1"/>
  <c r="AN210" i="1"/>
  <c r="AN6" i="1"/>
  <c r="O183" i="1"/>
  <c r="AN183" i="1" s="1"/>
  <c r="J183" i="1"/>
  <c r="AN8" i="1"/>
  <c r="AN9" i="1"/>
  <c r="AN15" i="1"/>
  <c r="AN16" i="1"/>
  <c r="AN30" i="1"/>
  <c r="AN31" i="1"/>
  <c r="AN46" i="1"/>
  <c r="AN47" i="1"/>
  <c r="AN59" i="1"/>
  <c r="AN121" i="1"/>
  <c r="AN131" i="1"/>
  <c r="AN178" i="1"/>
  <c r="AN184" i="1"/>
  <c r="AN11" i="1"/>
  <c r="AN12" i="1"/>
  <c r="AN27" i="1"/>
  <c r="AN43" i="1"/>
  <c r="AN89" i="1"/>
  <c r="AN93" i="1"/>
  <c r="AN136" i="1"/>
  <c r="AN140" i="1"/>
  <c r="AN201" i="1"/>
  <c r="AN61" i="1"/>
  <c r="AN74" i="1"/>
  <c r="AN75" i="1"/>
  <c r="AN108" i="1"/>
  <c r="AN110" i="1"/>
  <c r="AN111" i="1"/>
  <c r="AN112" i="1"/>
  <c r="AN113" i="1"/>
  <c r="AN114" i="1"/>
  <c r="AN115" i="1"/>
  <c r="AN116" i="1"/>
  <c r="AN117" i="1"/>
  <c r="AN134" i="1"/>
  <c r="AN146" i="1"/>
  <c r="AN147" i="1"/>
  <c r="AN151" i="1"/>
  <c r="AN158" i="1"/>
  <c r="AN161" i="1"/>
  <c r="AN170" i="1"/>
  <c r="AN171" i="1"/>
  <c r="AN191" i="1"/>
  <c r="AN197" i="1"/>
  <c r="AN198" i="1"/>
  <c r="AN207" i="1"/>
  <c r="AN213" i="1"/>
  <c r="AN214" i="1"/>
  <c r="AN217" i="1"/>
  <c r="AN221" i="1"/>
  <c r="AJ259" i="1"/>
  <c r="AN67" i="1"/>
  <c r="AN70" i="1"/>
  <c r="AN72" i="1"/>
  <c r="AN86" i="1"/>
  <c r="AN106" i="1"/>
  <c r="AN107" i="1"/>
  <c r="AN129" i="1"/>
  <c r="AN148" i="1"/>
  <c r="AN149" i="1"/>
  <c r="AN152" i="1"/>
  <c r="AN157" i="1"/>
  <c r="AN166" i="1"/>
  <c r="AN167" i="1"/>
  <c r="AN169" i="1"/>
  <c r="AN179" i="1"/>
  <c r="AN185" i="1"/>
  <c r="AN189" i="1"/>
  <c r="AN196" i="1"/>
  <c r="AJ271" i="1"/>
  <c r="AN82" i="1"/>
  <c r="AN83" i="1"/>
  <c r="AN84" i="1"/>
  <c r="AN85" i="1"/>
  <c r="AN100" i="1"/>
  <c r="AN101" i="1"/>
  <c r="AN102" i="1"/>
  <c r="AN103" i="1"/>
  <c r="AN104" i="1"/>
  <c r="AN105" i="1"/>
  <c r="AN127" i="1"/>
  <c r="AN144" i="1"/>
  <c r="AN155" i="1"/>
  <c r="AN163" i="1"/>
  <c r="AN164" i="1"/>
  <c r="AN175" i="1"/>
  <c r="AN182" i="1"/>
  <c r="AN188" i="1"/>
  <c r="AN194" i="1"/>
  <c r="AN203" i="1"/>
  <c r="AN208" i="1"/>
  <c r="AJ252" i="1"/>
  <c r="AJ263" i="1"/>
  <c r="AJ264" i="1"/>
  <c r="AN18" i="1"/>
  <c r="AN34" i="1"/>
  <c r="AN26" i="1"/>
  <c r="AN42" i="1"/>
  <c r="AN58" i="1"/>
  <c r="AN5" i="1"/>
  <c r="AN22" i="1"/>
  <c r="AN38" i="1"/>
  <c r="AN54" i="1"/>
  <c r="AN88" i="1"/>
  <c r="AN90" i="1"/>
  <c r="AN92" i="1"/>
  <c r="AN94" i="1"/>
  <c r="AN60" i="1"/>
  <c r="AN63" i="1"/>
  <c r="AN64" i="1"/>
  <c r="AN69" i="1"/>
  <c r="AN99" i="1"/>
  <c r="AN97" i="1"/>
  <c r="AN71" i="1"/>
  <c r="AN128" i="1"/>
  <c r="AN135" i="1"/>
  <c r="AN139" i="1"/>
  <c r="AN142" i="1"/>
  <c r="AN143" i="1"/>
  <c r="AN176" i="1"/>
  <c r="AN120" i="1"/>
  <c r="AN124" i="1"/>
  <c r="AN126" i="1"/>
  <c r="AN223" i="1"/>
  <c r="AN132" i="1"/>
  <c r="AN202" i="1"/>
  <c r="AN216" i="1"/>
  <c r="AN118" i="1"/>
  <c r="AN122" i="1"/>
  <c r="AN130" i="1"/>
  <c r="AN137" i="1"/>
  <c r="AN209" i="1"/>
  <c r="AN150" i="1"/>
  <c r="AN153" i="1"/>
  <c r="AN160" i="1"/>
  <c r="AN165" i="1"/>
  <c r="AN172" i="1"/>
  <c r="AN181" i="1"/>
  <c r="AN187" i="1"/>
  <c r="AN192" i="1"/>
  <c r="AN199" i="1"/>
  <c r="AN204" i="1"/>
  <c r="AN219" i="1"/>
  <c r="AN225" i="1"/>
  <c r="AN156" i="1"/>
  <c r="AN168" i="1"/>
  <c r="AN177" i="1"/>
  <c r="AN190" i="1"/>
  <c r="AN195" i="1"/>
  <c r="AN206" i="1"/>
  <c r="AN211" i="1"/>
  <c r="AN215" i="1"/>
  <c r="AN227" i="1"/>
  <c r="AN159" i="1"/>
  <c r="AN180" i="1"/>
  <c r="AN186" i="1"/>
  <c r="AN220" i="1"/>
  <c r="AN222" i="1"/>
  <c r="AN224" i="1"/>
  <c r="AN226" i="1"/>
  <c r="AN228" i="1"/>
  <c r="AJ253" i="1"/>
  <c r="AJ261" i="1"/>
  <c r="AN205" i="1"/>
  <c r="AJ265" i="1"/>
  <c r="AO5" i="1" l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O59" i="1" s="1"/>
  <c r="AO60" i="1" s="1"/>
  <c r="AO61" i="1" s="1"/>
  <c r="AO62" i="1" s="1"/>
  <c r="AO63" i="1" s="1"/>
  <c r="AO64" i="1" s="1"/>
  <c r="AO65" i="1" s="1"/>
  <c r="AO66" i="1" s="1"/>
  <c r="AO67" i="1" s="1"/>
  <c r="AO68" i="1" s="1"/>
  <c r="AO69" i="1" s="1"/>
  <c r="AO70" i="1" s="1"/>
  <c r="AO71" i="1" s="1"/>
  <c r="AO72" i="1" s="1"/>
  <c r="AO73" i="1" s="1"/>
  <c r="AO74" i="1" s="1"/>
  <c r="AO75" i="1" s="1"/>
  <c r="AO76" i="1" s="1"/>
  <c r="AO77" i="1" s="1"/>
  <c r="AO78" i="1" s="1"/>
  <c r="AO79" i="1" s="1"/>
  <c r="AO80" i="1" s="1"/>
  <c r="AO81" i="1" s="1"/>
  <c r="AO82" i="1" s="1"/>
  <c r="AO83" i="1" s="1"/>
  <c r="AO84" i="1" s="1"/>
  <c r="AO85" i="1" s="1"/>
  <c r="AO86" i="1" s="1"/>
  <c r="AO87" i="1" s="1"/>
  <c r="AO88" i="1" s="1"/>
  <c r="AO89" i="1" s="1"/>
  <c r="AO90" i="1" s="1"/>
  <c r="AO91" i="1" s="1"/>
  <c r="AO92" i="1" s="1"/>
  <c r="AO93" i="1" s="1"/>
  <c r="AO94" i="1" s="1"/>
  <c r="AO95" i="1" s="1"/>
  <c r="AO96" i="1" s="1"/>
  <c r="AO97" i="1" s="1"/>
  <c r="AO98" i="1" s="1"/>
  <c r="AO99" i="1" s="1"/>
  <c r="AO100" i="1" s="1"/>
  <c r="AO101" i="1" s="1"/>
  <c r="AO102" i="1" s="1"/>
  <c r="AO103" i="1" s="1"/>
  <c r="AO104" i="1" s="1"/>
  <c r="AO105" i="1" s="1"/>
  <c r="AO106" i="1" s="1"/>
  <c r="AO107" i="1" s="1"/>
  <c r="AO108" i="1" s="1"/>
  <c r="AO109" i="1" s="1"/>
  <c r="AO110" i="1" s="1"/>
  <c r="AO111" i="1" s="1"/>
  <c r="AO112" i="1" s="1"/>
  <c r="AO113" i="1" s="1"/>
  <c r="AO114" i="1" s="1"/>
  <c r="AO115" i="1" s="1"/>
  <c r="AO116" i="1" s="1"/>
  <c r="AO117" i="1" s="1"/>
  <c r="AO118" i="1" s="1"/>
  <c r="AO119" i="1" s="1"/>
  <c r="AO120" i="1" s="1"/>
  <c r="AO121" i="1" s="1"/>
  <c r="AO122" i="1" s="1"/>
  <c r="AO123" i="1" s="1"/>
  <c r="AO124" i="1" s="1"/>
  <c r="AO125" i="1" s="1"/>
  <c r="AO126" i="1" s="1"/>
  <c r="AO127" i="1" s="1"/>
  <c r="AO128" i="1" s="1"/>
  <c r="AO129" i="1" s="1"/>
  <c r="AO130" i="1" s="1"/>
  <c r="AO131" i="1" s="1"/>
  <c r="AO132" i="1" s="1"/>
  <c r="AO133" i="1" s="1"/>
  <c r="AO134" i="1" s="1"/>
  <c r="AO135" i="1" s="1"/>
  <c r="AO136" i="1" s="1"/>
  <c r="AO137" i="1" s="1"/>
  <c r="AO138" i="1" s="1"/>
  <c r="AO139" i="1" s="1"/>
  <c r="AO140" i="1" s="1"/>
  <c r="AO141" i="1" s="1"/>
  <c r="AO142" i="1" s="1"/>
  <c r="AO143" i="1" s="1"/>
  <c r="AO144" i="1" s="1"/>
  <c r="AO145" i="1" s="1"/>
  <c r="AO146" i="1" s="1"/>
  <c r="AO147" i="1" s="1"/>
  <c r="AO148" i="1" s="1"/>
  <c r="AO149" i="1" s="1"/>
  <c r="AO150" i="1" s="1"/>
  <c r="AO151" i="1" s="1"/>
  <c r="AO152" i="1" s="1"/>
  <c r="AO153" i="1" s="1"/>
  <c r="AO154" i="1" s="1"/>
  <c r="AO155" i="1" s="1"/>
  <c r="AO156" i="1" s="1"/>
  <c r="AO157" i="1" s="1"/>
  <c r="AO158" i="1" s="1"/>
  <c r="AO159" i="1" s="1"/>
  <c r="AO160" i="1" s="1"/>
  <c r="AO161" i="1" s="1"/>
  <c r="AO162" i="1" s="1"/>
  <c r="AO163" i="1" s="1"/>
  <c r="AO164" i="1" s="1"/>
  <c r="AO165" i="1" s="1"/>
  <c r="AO166" i="1" s="1"/>
  <c r="AO167" i="1" s="1"/>
  <c r="AO168" i="1" s="1"/>
  <c r="AO169" i="1" s="1"/>
  <c r="AO170" i="1" s="1"/>
  <c r="AO171" i="1" s="1"/>
  <c r="AO172" i="1" s="1"/>
  <c r="AO173" i="1" s="1"/>
  <c r="AO174" i="1" s="1"/>
  <c r="AO175" i="1" s="1"/>
  <c r="AO176" i="1" s="1"/>
  <c r="AO177" i="1" s="1"/>
  <c r="AO178" i="1" s="1"/>
  <c r="AO179" i="1" s="1"/>
  <c r="AO180" i="1" s="1"/>
  <c r="AO181" i="1" s="1"/>
  <c r="AO182" i="1" s="1"/>
  <c r="AO183" i="1" s="1"/>
  <c r="AO184" i="1" s="1"/>
  <c r="AO185" i="1" s="1"/>
  <c r="AO186" i="1" s="1"/>
  <c r="AO187" i="1" s="1"/>
  <c r="AO188" i="1" s="1"/>
  <c r="AO189" i="1" s="1"/>
  <c r="AO190" i="1" s="1"/>
  <c r="AO191" i="1" s="1"/>
  <c r="AO192" i="1" s="1"/>
  <c r="AO193" i="1" s="1"/>
  <c r="AO194" i="1" s="1"/>
  <c r="AO195" i="1" s="1"/>
  <c r="AO196" i="1" s="1"/>
  <c r="AO197" i="1" s="1"/>
  <c r="AO198" i="1" s="1"/>
  <c r="AO199" i="1" s="1"/>
  <c r="AO200" i="1" s="1"/>
  <c r="AO201" i="1" s="1"/>
  <c r="AO202" i="1" s="1"/>
  <c r="AO203" i="1" s="1"/>
  <c r="AO204" i="1" s="1"/>
  <c r="AO205" i="1" s="1"/>
  <c r="AO206" i="1" s="1"/>
  <c r="AO207" i="1" s="1"/>
  <c r="AO208" i="1" s="1"/>
  <c r="AO209" i="1" s="1"/>
  <c r="AO210" i="1" s="1"/>
  <c r="AO211" i="1" s="1"/>
  <c r="AO212" i="1" s="1"/>
  <c r="AO213" i="1" s="1"/>
  <c r="AO214" i="1" s="1"/>
  <c r="AO215" i="1" s="1"/>
  <c r="AO216" i="1" s="1"/>
  <c r="AO217" i="1" s="1"/>
  <c r="AO218" i="1" s="1"/>
  <c r="AO219" i="1" s="1"/>
  <c r="AO220" i="1" s="1"/>
  <c r="AO221" i="1" s="1"/>
  <c r="AO222" i="1" s="1"/>
  <c r="AO223" i="1" s="1"/>
  <c r="AO224" i="1" s="1"/>
  <c r="AO225" i="1" s="1"/>
  <c r="AO226" i="1" s="1"/>
  <c r="AO227" i="1" s="1"/>
  <c r="AO228" i="1" s="1"/>
  <c r="AV610" i="1" l="1"/>
  <c r="AV611" i="1" s="1"/>
  <c r="AV612" i="1" s="1"/>
  <c r="AV613" i="1" s="1"/>
  <c r="AV614" i="1" s="1"/>
  <c r="AV615" i="1" s="1"/>
  <c r="AV616" i="1" s="1"/>
  <c r="AV617" i="1" s="1"/>
  <c r="AV618" i="1" s="1"/>
  <c r="AV619" i="1" s="1"/>
  <c r="AV620" i="1" s="1"/>
  <c r="AV621" i="1" s="1"/>
  <c r="AV622" i="1" s="1"/>
  <c r="AV623" i="1" s="1"/>
  <c r="AV624" i="1" s="1"/>
  <c r="AV625" i="1" s="1"/>
  <c r="AV626" i="1" s="1"/>
  <c r="AV627" i="1" s="1"/>
  <c r="AV628" i="1" s="1"/>
  <c r="AV629" i="1" s="1"/>
  <c r="AV630" i="1" s="1"/>
  <c r="AV631" i="1" s="1"/>
  <c r="AV632" i="1" s="1"/>
  <c r="AV633" i="1" s="1"/>
  <c r="AV634" i="1" s="1"/>
  <c r="AV635" i="1" s="1"/>
  <c r="AV636" i="1" s="1"/>
  <c r="AV637" i="1" s="1"/>
  <c r="AV638" i="1" s="1"/>
  <c r="AV639" i="1" s="1"/>
  <c r="AV640" i="1" s="1"/>
  <c r="AV641" i="1" s="1"/>
  <c r="AV642" i="1" s="1"/>
  <c r="AV643" i="1" s="1"/>
  <c r="AV644" i="1" s="1"/>
  <c r="AV645" i="1" s="1"/>
  <c r="AV646" i="1" s="1"/>
  <c r="AV647" i="1" s="1"/>
  <c r="AV648" i="1" s="1"/>
  <c r="AV649" i="1" s="1"/>
  <c r="AV650" i="1" s="1"/>
  <c r="AV651" i="1" s="1"/>
  <c r="AV652" i="1" s="1"/>
  <c r="AV653" i="1" s="1"/>
  <c r="AV654" i="1" s="1"/>
  <c r="AV655" i="1" s="1"/>
  <c r="AV656" i="1" s="1"/>
  <c r="AV657" i="1" s="1"/>
  <c r="AV658" i="1" s="1"/>
  <c r="AV659" i="1" s="1"/>
  <c r="AV660" i="1" s="1"/>
  <c r="AV661" i="1" s="1"/>
  <c r="AV662" i="1" s="1"/>
  <c r="AV663" i="1" s="1"/>
  <c r="AV664" i="1" s="1"/>
  <c r="AV665" i="1" s="1"/>
  <c r="AV666" i="1" s="1"/>
  <c r="AV667" i="1" s="1"/>
  <c r="AV668" i="1" s="1"/>
  <c r="AV669" i="1" s="1"/>
  <c r="AV670" i="1" s="1"/>
  <c r="AV671" i="1" s="1"/>
  <c r="AV672" i="1" s="1"/>
  <c r="AV673" i="1" s="1"/>
  <c r="AV674" i="1" s="1"/>
  <c r="AV675" i="1" s="1"/>
  <c r="AV676" i="1" s="1"/>
  <c r="AV677" i="1" s="1"/>
  <c r="AV678" i="1" s="1"/>
  <c r="AV679" i="1" s="1"/>
  <c r="AV680" i="1" s="1"/>
  <c r="AV681" i="1" s="1"/>
  <c r="AV682" i="1" s="1"/>
  <c r="AV683" i="1" s="1"/>
  <c r="AV684" i="1" s="1"/>
  <c r="AV685" i="1" s="1"/>
  <c r="AV686" i="1" s="1"/>
  <c r="AV687" i="1" s="1"/>
  <c r="AV688" i="1" s="1"/>
  <c r="AV689" i="1" s="1"/>
  <c r="AV690" i="1" s="1"/>
  <c r="AV691" i="1" s="1"/>
  <c r="AV692" i="1" s="1"/>
  <c r="AV693" i="1" s="1"/>
  <c r="AV694" i="1" s="1"/>
  <c r="AV695" i="1" s="1"/>
  <c r="AV696" i="1" s="1"/>
  <c r="AV697" i="1" s="1"/>
  <c r="AV698" i="1" s="1"/>
  <c r="AV699" i="1" s="1"/>
  <c r="AV700" i="1" s="1"/>
  <c r="AV701" i="1" s="1"/>
  <c r="AV702" i="1" s="1"/>
  <c r="AV703" i="1" s="1"/>
  <c r="AV704" i="1" s="1"/>
  <c r="AV705" i="1" s="1"/>
  <c r="AV706" i="1" s="1"/>
  <c r="AV707" i="1" s="1"/>
  <c r="AV708" i="1" s="1"/>
  <c r="AV709" i="1" s="1"/>
  <c r="AV710" i="1" s="1"/>
  <c r="AV711" i="1" s="1"/>
  <c r="AV712" i="1" s="1"/>
  <c r="AV713" i="1" s="1"/>
  <c r="AV714" i="1" s="1"/>
  <c r="AV715" i="1" s="1"/>
  <c r="AV716" i="1" s="1"/>
  <c r="AV717" i="1" s="1"/>
  <c r="AV718" i="1" s="1"/>
  <c r="AV719" i="1" s="1"/>
  <c r="AV720" i="1" s="1"/>
  <c r="AV721" i="1" s="1"/>
  <c r="AV722" i="1" s="1"/>
  <c r="AV723" i="1" s="1"/>
  <c r="AV724" i="1" s="1"/>
  <c r="AV725" i="1" s="1"/>
  <c r="AV726" i="1" s="1"/>
  <c r="AV727" i="1" s="1"/>
  <c r="AV728" i="1" s="1"/>
  <c r="AV729" i="1" s="1"/>
  <c r="AV730" i="1" s="1"/>
  <c r="AV731" i="1" s="1"/>
  <c r="AV732" i="1" s="1"/>
  <c r="AV733" i="1" s="1"/>
  <c r="AV734" i="1" s="1"/>
  <c r="AV735" i="1" s="1"/>
  <c r="AV736" i="1" s="1"/>
  <c r="AV737" i="1" s="1"/>
  <c r="AV738" i="1" s="1"/>
  <c r="AV739" i="1" s="1"/>
  <c r="AV740" i="1" s="1"/>
  <c r="AV741" i="1" s="1"/>
  <c r="AV742" i="1" s="1"/>
  <c r="AV743" i="1" s="1"/>
  <c r="AV744" i="1" s="1"/>
  <c r="AV745" i="1" s="1"/>
  <c r="AV746" i="1" s="1"/>
  <c r="AV747" i="1" s="1"/>
  <c r="AV748" i="1" s="1"/>
  <c r="AV749" i="1" s="1"/>
  <c r="AV750" i="1" s="1"/>
  <c r="AV751" i="1" s="1"/>
  <c r="AV752" i="1" s="1"/>
  <c r="AV753" i="1" s="1"/>
  <c r="AV754" i="1" s="1"/>
  <c r="AV755" i="1" s="1"/>
  <c r="AV756" i="1" s="1"/>
  <c r="AV757" i="1" s="1"/>
  <c r="AV758" i="1" s="1"/>
  <c r="AV759" i="1" s="1"/>
  <c r="AV760" i="1" s="1"/>
  <c r="AV761" i="1" s="1"/>
  <c r="AV762" i="1" s="1"/>
  <c r="AV763" i="1" s="1"/>
  <c r="AV764" i="1" s="1"/>
  <c r="AV765" i="1" s="1"/>
  <c r="AV766" i="1" s="1"/>
  <c r="AV767" i="1" s="1"/>
  <c r="AV768" i="1" s="1"/>
  <c r="AV769" i="1" s="1"/>
  <c r="AV770" i="1" s="1"/>
  <c r="AV771" i="1" s="1"/>
  <c r="AV772" i="1" s="1"/>
  <c r="AV773" i="1" s="1"/>
  <c r="AV774" i="1" s="1"/>
  <c r="AV775" i="1" s="1"/>
  <c r="AV776" i="1" s="1"/>
  <c r="AV777" i="1" s="1"/>
  <c r="AV778" i="1" s="1"/>
  <c r="AV779" i="1" s="1"/>
  <c r="AV780" i="1" s="1"/>
  <c r="AV781" i="1" s="1"/>
  <c r="AV782" i="1" s="1"/>
  <c r="AV783" i="1" s="1"/>
  <c r="AV784" i="1" s="1"/>
  <c r="AV785" i="1" s="1"/>
  <c r="AV786" i="1" s="1"/>
  <c r="AV787" i="1" s="1"/>
  <c r="AV788" i="1" s="1"/>
  <c r="AV789" i="1" s="1"/>
  <c r="AV790" i="1" s="1"/>
  <c r="AV791" i="1" s="1"/>
  <c r="AV792" i="1" s="1"/>
  <c r="AV793" i="1" s="1"/>
  <c r="AV794" i="1" s="1"/>
  <c r="AV795" i="1" s="1"/>
  <c r="AV796" i="1" s="1"/>
  <c r="AV797" i="1" s="1"/>
  <c r="AV798" i="1" s="1"/>
  <c r="AV799" i="1" s="1"/>
  <c r="AV800" i="1" s="1"/>
  <c r="AV801" i="1" s="1"/>
  <c r="AV802" i="1" s="1"/>
  <c r="AV803" i="1" s="1"/>
  <c r="AV804" i="1" s="1"/>
  <c r="AV805" i="1" s="1"/>
  <c r="AV806" i="1" s="1"/>
  <c r="AV807" i="1" s="1"/>
  <c r="AV808" i="1" s="1"/>
  <c r="AV809" i="1" s="1"/>
  <c r="AV810" i="1" s="1"/>
  <c r="AV811" i="1" s="1"/>
  <c r="AV812" i="1" s="1"/>
  <c r="AV813" i="1" s="1"/>
  <c r="AV814" i="1" s="1"/>
  <c r="AV815" i="1" s="1"/>
  <c r="AV816" i="1" s="1"/>
  <c r="AV817" i="1" s="1"/>
  <c r="AV818" i="1" s="1"/>
  <c r="AV819" i="1" s="1"/>
  <c r="AV820" i="1" s="1"/>
  <c r="AV821" i="1" s="1"/>
  <c r="AV822" i="1" s="1"/>
  <c r="AV823" i="1" s="1"/>
  <c r="AV824" i="1" s="1"/>
  <c r="AV825" i="1" s="1"/>
  <c r="AV826" i="1" s="1"/>
  <c r="AV827" i="1" s="1"/>
  <c r="AV828" i="1" s="1"/>
  <c r="AV829" i="1" s="1"/>
  <c r="AV830" i="1" s="1"/>
  <c r="AV831" i="1" s="1"/>
  <c r="AV832" i="1" s="1"/>
  <c r="AV833" i="1" s="1"/>
  <c r="AV834" i="1" s="1"/>
  <c r="AV835" i="1" s="1"/>
  <c r="AV836" i="1" s="1"/>
  <c r="AV837" i="1" s="1"/>
  <c r="AV838" i="1" s="1"/>
  <c r="AV839" i="1" s="1"/>
  <c r="AV840" i="1" s="1"/>
  <c r="AV841" i="1" s="1"/>
  <c r="AV842" i="1" s="1"/>
  <c r="AV843" i="1" l="1"/>
  <c r="AV844" i="1" l="1"/>
  <c r="AV845" i="1" s="1"/>
  <c r="AV846" i="1" l="1"/>
  <c r="AV847" i="1" l="1"/>
  <c r="AV848" i="1" l="1"/>
  <c r="AV849" i="1" l="1"/>
  <c r="AV850" i="1" l="1"/>
  <c r="AV851" i="1" l="1"/>
  <c r="AV852" i="1" l="1"/>
  <c r="AV853" i="1" l="1"/>
  <c r="AV854" i="1" l="1"/>
  <c r="AV855" i="1" l="1"/>
  <c r="AV856" i="1" l="1"/>
  <c r="AV857" i="1" l="1"/>
  <c r="AV858" i="1" l="1"/>
  <c r="AV859" i="1" l="1"/>
  <c r="AV860" i="1" l="1"/>
  <c r="AV861" i="1" l="1"/>
  <c r="AV862" i="1" l="1"/>
  <c r="AV863" i="1" l="1"/>
  <c r="AV864" i="1" l="1"/>
  <c r="AV865" i="1" l="1"/>
  <c r="AV866" i="1" l="1"/>
  <c r="AV867" i="1" l="1"/>
  <c r="AV868" i="1" l="1"/>
  <c r="AV869" i="1" l="1"/>
  <c r="AV870" i="1" l="1"/>
  <c r="AV871" i="1" l="1"/>
  <c r="AV872" i="1" l="1"/>
  <c r="AV873" i="1" l="1"/>
  <c r="AU874" i="1" l="1"/>
  <c r="AV874" i="1" s="1"/>
  <c r="AU879" i="1" l="1"/>
  <c r="AU881" i="1"/>
  <c r="AU886" i="1"/>
  <c r="AU880" i="1"/>
  <c r="AU885" i="1"/>
  <c r="AU882" i="1"/>
  <c r="AU877" i="1"/>
  <c r="AU876" i="1"/>
  <c r="AU878" i="1"/>
  <c r="AU883" i="1"/>
  <c r="AU884" i="1"/>
  <c r="AU875" i="1"/>
  <c r="AV875" i="1" s="1"/>
  <c r="AV876" i="1" l="1"/>
  <c r="AV877" i="1" l="1"/>
  <c r="AV878" i="1" l="1"/>
  <c r="AV879" i="1" l="1"/>
  <c r="AV880" i="1" l="1"/>
  <c r="AV881" i="1" l="1"/>
  <c r="AV882" i="1" l="1"/>
  <c r="AV883" i="1" l="1"/>
  <c r="AV884" i="1" l="1"/>
  <c r="AV885" i="1" l="1"/>
  <c r="AV886" i="1" l="1"/>
  <c r="AU896" i="1" l="1"/>
  <c r="AU892" i="1"/>
  <c r="AU895" i="1"/>
  <c r="AU893" i="1"/>
  <c r="AU894" i="1"/>
  <c r="AU887" i="1"/>
  <c r="AV887" i="1" s="1"/>
  <c r="AU891" i="1"/>
  <c r="AU890" i="1"/>
  <c r="AU889" i="1"/>
  <c r="AU888" i="1"/>
  <c r="AV888" i="1" l="1"/>
  <c r="AV889" i="1" l="1"/>
  <c r="AV890" i="1" l="1"/>
  <c r="AV891" i="1" l="1"/>
  <c r="AV892" i="1" l="1"/>
  <c r="AV893" i="1" l="1"/>
  <c r="AV894" i="1" l="1"/>
  <c r="AV895" i="1" l="1"/>
  <c r="AV896" i="1" l="1"/>
  <c r="AV897" i="1" l="1"/>
  <c r="AV898" i="1" l="1"/>
  <c r="AV899" i="1" l="1"/>
  <c r="AU969" i="1"/>
  <c r="AU970" i="1"/>
  <c r="AU973" i="1"/>
  <c r="AU972" i="1"/>
  <c r="AU971" i="1"/>
  <c r="AV900" i="1" l="1"/>
  <c r="AV901" i="1" l="1"/>
  <c r="AV902" i="1" l="1"/>
  <c r="AV903" i="1" l="1"/>
  <c r="AV904" i="1" l="1"/>
  <c r="AV905" i="1" l="1"/>
  <c r="AV906" i="1" l="1"/>
  <c r="AV907" i="1" l="1"/>
  <c r="AV908" i="1" l="1"/>
  <c r="AU979" i="1"/>
  <c r="AU983" i="1"/>
  <c r="AU980" i="1"/>
  <c r="AU982" i="1"/>
  <c r="AU981" i="1"/>
  <c r="AV909" i="1" l="1"/>
  <c r="AV910" i="1" l="1"/>
  <c r="AV911" i="1" l="1"/>
  <c r="AV912" i="1" l="1"/>
  <c r="AV913" i="1" l="1"/>
  <c r="AV914" i="1" l="1"/>
  <c r="AV915" i="1" l="1"/>
  <c r="AV916" i="1" l="1"/>
  <c r="AV917" i="1" l="1"/>
  <c r="AV918" i="1" l="1"/>
  <c r="AV919" i="1" l="1"/>
  <c r="AV920" i="1" l="1"/>
  <c r="AV921" i="1" l="1"/>
  <c r="AV922" i="1" l="1"/>
  <c r="AU994" i="1"/>
  <c r="AU998" i="1"/>
  <c r="AU996" i="1"/>
  <c r="AU997" i="1"/>
  <c r="AU995" i="1"/>
  <c r="AV923" i="1" l="1"/>
  <c r="AV924" i="1" l="1"/>
  <c r="AV925" i="1" l="1"/>
  <c r="AV926" i="1" l="1"/>
  <c r="AU999" i="1"/>
  <c r="AV927" i="1" l="1"/>
  <c r="AV928" i="1" l="1"/>
  <c r="AV929" i="1" l="1"/>
  <c r="AV930" i="1" l="1"/>
  <c r="AV931" i="1" l="1"/>
  <c r="AV932" i="1" l="1"/>
  <c r="AV933" i="1" l="1"/>
  <c r="AV934" i="1" l="1"/>
  <c r="AV935" i="1" l="1"/>
  <c r="AV936" i="1" l="1"/>
  <c r="AV937" i="1" l="1"/>
  <c r="AV938" i="1" l="1"/>
  <c r="AV939" i="1" l="1"/>
  <c r="AV940" i="1" l="1"/>
  <c r="AV941" i="1" l="1"/>
  <c r="AV942" i="1" l="1"/>
  <c r="AV943" i="1" l="1"/>
  <c r="AV944" i="1" l="1"/>
  <c r="AV945" i="1" l="1"/>
  <c r="AV946" i="1" l="1"/>
  <c r="AV947" i="1" l="1"/>
  <c r="AV948" i="1" l="1"/>
  <c r="AV949" i="1" l="1"/>
  <c r="AV950" i="1" l="1"/>
  <c r="AV951" i="1" l="1"/>
  <c r="AV952" i="1" l="1"/>
  <c r="AV953" i="1" l="1"/>
  <c r="AV954" i="1" l="1"/>
  <c r="AV955" i="1" l="1"/>
  <c r="AV956" i="1" l="1"/>
  <c r="AV957" i="1" l="1"/>
  <c r="AV958" i="1" l="1"/>
  <c r="AV959" i="1" l="1"/>
  <c r="AV960" i="1" l="1"/>
  <c r="AV961" i="1" l="1"/>
  <c r="AV962" i="1" l="1"/>
  <c r="AV963" i="1" l="1"/>
  <c r="AV964" i="1" l="1"/>
  <c r="AV965" i="1" l="1"/>
  <c r="AV966" i="1" l="1"/>
  <c r="AV967" i="1" l="1"/>
  <c r="AV968" i="1" l="1"/>
  <c r="AV969" i="1" l="1"/>
  <c r="AV970" i="1" l="1"/>
  <c r="AV971" i="1" l="1"/>
  <c r="AV972" i="1" l="1"/>
  <c r="AV973" i="1" l="1"/>
  <c r="AV974" i="1" l="1"/>
  <c r="AV975" i="1" l="1"/>
  <c r="AV976" i="1" l="1"/>
  <c r="AV977" i="1" l="1"/>
  <c r="AV978" i="1" l="1"/>
  <c r="AV979" i="1" l="1"/>
  <c r="AV980" i="1" l="1"/>
  <c r="AV981" i="1" l="1"/>
  <c r="AV982" i="1" l="1"/>
  <c r="AV983" i="1" l="1"/>
  <c r="AV984" i="1" l="1"/>
  <c r="AV985" i="1" s="1"/>
  <c r="AV986" i="1" l="1"/>
  <c r="AV987" i="1" l="1"/>
  <c r="AV988" i="1" l="1"/>
  <c r="AV989" i="1" l="1"/>
  <c r="AV990" i="1" s="1"/>
  <c r="AV991" i="1" l="1"/>
  <c r="AV992" i="1" l="1"/>
  <c r="AV993" i="1" l="1"/>
  <c r="AV994" i="1" l="1"/>
  <c r="AV995" i="1" l="1"/>
  <c r="AV996" i="1" l="1"/>
  <c r="AV997" i="1" l="1"/>
  <c r="AV998" i="1" l="1"/>
  <c r="AV999" i="1" l="1"/>
  <c r="AV1000" i="1" l="1"/>
  <c r="AV1001" i="1" l="1"/>
  <c r="AV1002" i="1" l="1"/>
  <c r="AV1003" i="1" l="1"/>
  <c r="AV1004" i="1" l="1"/>
  <c r="AV1005" i="1" l="1"/>
  <c r="AV1006" i="1" l="1"/>
  <c r="AV1007" i="1" l="1"/>
  <c r="AV1008" i="1" l="1"/>
  <c r="AV1009" i="1" l="1"/>
  <c r="AV1010" i="1" s="1"/>
  <c r="AV1011" i="1" l="1"/>
  <c r="AV1012" i="1" l="1"/>
  <c r="AV1013" i="1" l="1"/>
  <c r="AV1014" i="1" l="1"/>
  <c r="AV1015" i="1" l="1"/>
  <c r="AV1016" i="1" l="1"/>
  <c r="AV1017" i="1" l="1"/>
  <c r="AV1018" i="1" l="1"/>
  <c r="AV1019" i="1" l="1"/>
  <c r="AV1020" i="1" l="1"/>
  <c r="AV1021" i="1" l="1"/>
  <c r="AV1022" i="1" l="1"/>
  <c r="AV1023" i="1" l="1"/>
  <c r="AV1024" i="1" l="1"/>
  <c r="AV1025" i="1" l="1"/>
  <c r="AV1026" i="1" l="1"/>
  <c r="AV1027" i="1" l="1"/>
  <c r="AV1028" i="1" l="1"/>
  <c r="AV1029" i="1" l="1"/>
  <c r="AV1030" i="1" l="1"/>
  <c r="AV1031" i="1" s="1"/>
  <c r="AV1032" i="1" l="1"/>
  <c r="AV1033" i="1" l="1"/>
  <c r="AV1034" i="1" l="1"/>
  <c r="AV1035" i="1" l="1"/>
  <c r="AV1036" i="1" l="1"/>
  <c r="AV1037" i="1" l="1"/>
  <c r="AV1038" i="1" l="1"/>
  <c r="AV1039" i="1" l="1"/>
  <c r="AV1040" i="1" l="1"/>
  <c r="AV1041" i="1" l="1"/>
  <c r="AV1042" i="1" l="1"/>
  <c r="AV1043" i="1" l="1"/>
  <c r="AV1044" i="1" l="1"/>
  <c r="AV1045" i="1" l="1"/>
  <c r="AV1046" i="1" l="1"/>
  <c r="AV1047" i="1" l="1"/>
  <c r="AV1048" i="1" l="1"/>
  <c r="AV1049" i="1" l="1"/>
  <c r="AV1050" i="1" l="1"/>
  <c r="AV1051" i="1" l="1"/>
  <c r="AV1052" i="1" l="1"/>
  <c r="AV1053" i="1" l="1"/>
  <c r="AV1054" i="1" l="1"/>
  <c r="AV1055" i="1" l="1"/>
  <c r="AV1056" i="1" l="1"/>
  <c r="AV1057" i="1" l="1"/>
  <c r="AV1058" i="1" s="1"/>
  <c r="AV1059" i="1" l="1"/>
  <c r="AV1060" i="1" l="1"/>
  <c r="AV1061" i="1" l="1"/>
  <c r="AV1062" i="1" l="1"/>
  <c r="AV1063" i="1" l="1"/>
  <c r="AV1064" i="1" l="1"/>
  <c r="AV1065" i="1" l="1"/>
  <c r="AV1066" i="1" l="1"/>
  <c r="AV1067" i="1" l="1"/>
  <c r="AV1068" i="1" l="1"/>
  <c r="AV1069" i="1" l="1"/>
  <c r="AV1070" i="1" l="1"/>
  <c r="AV1071" i="1" l="1"/>
  <c r="AV1072" i="1" l="1"/>
  <c r="AV1073" i="1" l="1"/>
  <c r="AV1074" i="1" l="1"/>
  <c r="AV1075" i="1" l="1"/>
  <c r="AV1076" i="1" l="1"/>
  <c r="AV1077" i="1" l="1"/>
  <c r="AV1078" i="1" l="1"/>
  <c r="AV1079" i="1" l="1"/>
  <c r="AV1080" i="1" l="1"/>
  <c r="AV1081" i="1" l="1"/>
  <c r="AV1082" i="1" l="1"/>
  <c r="AV1083" i="1" l="1"/>
  <c r="AV1084" i="1" l="1"/>
  <c r="AV1085" i="1" l="1"/>
  <c r="AV1086" i="1" s="1"/>
  <c r="AV1087" i="1" l="1"/>
  <c r="AV1088" i="1" l="1"/>
  <c r="AV1089" i="1" l="1"/>
  <c r="AV1090" i="1" l="1"/>
  <c r="AV1091" i="1" s="1"/>
  <c r="AV1092" i="1" l="1"/>
  <c r="AV1093" i="1" l="1"/>
  <c r="AV1094" i="1" l="1"/>
  <c r="AV1095" i="1" l="1"/>
  <c r="AV1096" i="1" l="1"/>
  <c r="AV1097" i="1" l="1"/>
  <c r="AV1098" i="1" l="1"/>
  <c r="AV1099" i="1" l="1"/>
  <c r="AV1100" i="1" l="1"/>
  <c r="AV1101" i="1" l="1"/>
  <c r="AV1102" i="1" l="1"/>
  <c r="AV1103" i="1" l="1"/>
  <c r="AV1104" i="1" l="1"/>
  <c r="AV1105" i="1" l="1"/>
  <c r="AV1106" i="1" l="1"/>
  <c r="AV1107" i="1" l="1"/>
  <c r="AV1108" i="1" l="1"/>
  <c r="AV1109" i="1" l="1"/>
  <c r="AV1110" i="1" l="1"/>
  <c r="AV1111" i="1" l="1"/>
  <c r="AV1112" i="1" l="1"/>
  <c r="AV1113" i="1" s="1"/>
  <c r="AV1114" i="1" s="1"/>
  <c r="AV1115" i="1" s="1"/>
  <c r="AV1116" i="1" s="1"/>
  <c r="AV1117" i="1" s="1"/>
  <c r="AV1118" i="1" s="1"/>
  <c r="AV1119" i="1" l="1"/>
  <c r="AV1120" i="1" l="1"/>
  <c r="AV1121" i="1" l="1"/>
  <c r="AV1122" i="1" l="1"/>
  <c r="AV1123" i="1" l="1"/>
  <c r="AV1124" i="1" l="1"/>
  <c r="AV1125" i="1" l="1"/>
  <c r="AV1126" i="1" s="1"/>
  <c r="AV1127" i="1" l="1"/>
  <c r="AV1128" i="1" l="1"/>
  <c r="AV1129" i="1" s="1"/>
  <c r="AV1130" i="1" s="1"/>
  <c r="AV1131" i="1" l="1"/>
  <c r="AV1132" i="1" s="1"/>
  <c r="AV1133" i="1" s="1"/>
  <c r="AV1134" i="1" s="1"/>
  <c r="AV1135" i="1" s="1"/>
  <c r="AV1136" i="1" s="1"/>
  <c r="AV1137" i="1" s="1"/>
  <c r="AV1138" i="1" s="1"/>
  <c r="AV1139" i="1" s="1"/>
  <c r="AV1140" i="1" s="1"/>
  <c r="AV1141" i="1" s="1"/>
  <c r="AV1142" i="1" s="1"/>
  <c r="AV1143" i="1" s="1"/>
  <c r="AV1144" i="1" s="1"/>
  <c r="AV1145" i="1" s="1"/>
  <c r="AV1146" i="1" s="1"/>
  <c r="AV1147" i="1" s="1"/>
  <c r="AV1148" i="1" s="1"/>
  <c r="AV1149" i="1" s="1"/>
  <c r="AV1150" i="1" s="1"/>
  <c r="AV1151" i="1" s="1"/>
  <c r="AV1152" i="1" s="1"/>
  <c r="AV1153" i="1" s="1"/>
  <c r="AV1154" i="1" s="1"/>
  <c r="AV1155" i="1" s="1"/>
  <c r="AV1156" i="1" s="1"/>
  <c r="AV1157" i="1" s="1"/>
  <c r="AV1158" i="1" s="1"/>
  <c r="AV1159" i="1" s="1"/>
  <c r="AV1160" i="1" s="1"/>
  <c r="AV1161" i="1" l="1"/>
  <c r="AV1162" i="1" s="1"/>
  <c r="AV1163" i="1" s="1"/>
  <c r="AV1164" i="1" l="1"/>
  <c r="AV1165" i="1" s="1"/>
  <c r="AV1166" i="1" s="1"/>
  <c r="AV1167" i="1" s="1"/>
  <c r="AV1168" i="1" l="1"/>
  <c r="AV1169" i="1" l="1"/>
  <c r="AV1170" i="1" l="1"/>
  <c r="AV1171" i="1" l="1"/>
  <c r="AV1172" i="1" l="1"/>
  <c r="AV1173" i="1" l="1"/>
  <c r="AV1174" i="1" s="1"/>
  <c r="AV1175" i="1" s="1"/>
  <c r="AV1176" i="1" s="1"/>
  <c r="AV1177" i="1" s="1"/>
  <c r="AV1178" i="1" s="1"/>
  <c r="AV1179" i="1" s="1"/>
  <c r="AV1180" i="1" s="1"/>
  <c r="AV1181" i="1" s="1"/>
  <c r="AV1182" i="1" s="1"/>
  <c r="AV1183" i="1" s="1"/>
  <c r="AV1184" i="1" s="1"/>
  <c r="AV1185" i="1" s="1"/>
  <c r="AV1186" i="1" l="1"/>
  <c r="AV1187" i="1" s="1"/>
  <c r="AV1188" i="1" s="1"/>
  <c r="AV1189" i="1" s="1"/>
  <c r="AV1190" i="1" s="1"/>
  <c r="AV1191" i="1" s="1"/>
  <c r="AV1192" i="1" s="1"/>
  <c r="AV1193" i="1" s="1"/>
  <c r="AV1194" i="1" s="1"/>
  <c r="AV1195" i="1" s="1"/>
  <c r="AV1196" i="1" s="1"/>
  <c r="AV1197" i="1" s="1"/>
  <c r="AV1198" i="1" s="1"/>
  <c r="AV1199" i="1" s="1"/>
  <c r="AV1200" i="1" s="1"/>
  <c r="AV1201" i="1" s="1"/>
  <c r="AV1202" i="1" s="1"/>
  <c r="AV1203" i="1" s="1"/>
  <c r="AV1204" i="1" s="1"/>
  <c r="AV1205" i="1" s="1"/>
  <c r="AV1206" i="1" s="1"/>
  <c r="AV1207" i="1" s="1"/>
  <c r="AV1208" i="1" s="1"/>
  <c r="AV1209" i="1" s="1"/>
  <c r="AV1210" i="1" s="1"/>
  <c r="AV1211" i="1" s="1"/>
  <c r="AV1212" i="1" s="1"/>
  <c r="AV1213" i="1" s="1"/>
  <c r="AV1214" i="1" s="1"/>
  <c r="AV1215" i="1" s="1"/>
  <c r="AV1216" i="1" s="1"/>
  <c r="AV1217" i="1" s="1"/>
  <c r="AV1218" i="1" s="1"/>
  <c r="AV1219" i="1" s="1"/>
  <c r="AV1220" i="1" s="1"/>
  <c r="AV1221" i="1" s="1"/>
  <c r="AV1222" i="1" s="1"/>
  <c r="AV1223" i="1" s="1"/>
  <c r="AV1224" i="1" s="1"/>
  <c r="AV1225" i="1" s="1"/>
  <c r="AV1226" i="1" s="1"/>
  <c r="AV1227" i="1" s="1"/>
  <c r="AV1228" i="1" s="1"/>
  <c r="AV1229" i="1" s="1"/>
  <c r="AV1230" i="1" s="1"/>
  <c r="AV1231" i="1" s="1"/>
  <c r="AV1232" i="1" s="1"/>
  <c r="AV1233" i="1" s="1"/>
  <c r="AV1234" i="1" s="1"/>
  <c r="AV1235" i="1" s="1"/>
  <c r="AV1236" i="1" s="1"/>
  <c r="AV1237" i="1" s="1"/>
  <c r="AV1238" i="1" s="1"/>
  <c r="AV1239" i="1" s="1"/>
  <c r="AV1240" i="1" s="1"/>
  <c r="AV1241" i="1" s="1"/>
  <c r="AV1242" i="1" s="1"/>
  <c r="AV1243" i="1" s="1"/>
  <c r="AV1244" i="1" s="1"/>
  <c r="AV1245" i="1" s="1"/>
  <c r="AV1246" i="1" s="1"/>
  <c r="AV1247" i="1" s="1"/>
  <c r="AV1248" i="1" s="1"/>
  <c r="AV1249" i="1" s="1"/>
  <c r="AV1250" i="1" s="1"/>
  <c r="AV1251" i="1" s="1"/>
  <c r="AV1252" i="1" s="1"/>
  <c r="AV1253" i="1" s="1"/>
  <c r="AV1254" i="1" s="1"/>
  <c r="AV1255" i="1" s="1"/>
  <c r="AV1256" i="1" s="1"/>
  <c r="AN1272" i="1" l="1"/>
  <c r="AM1272" i="1"/>
  <c r="AK1272" i="1"/>
  <c r="AH1272" i="1"/>
  <c r="AG1272" i="1"/>
  <c r="Y1272" i="1"/>
  <c r="M1272" i="1"/>
  <c r="S1272" i="1" l="1"/>
  <c r="X1272" i="1"/>
  <c r="U1272" i="1"/>
  <c r="V1272" i="1"/>
  <c r="H1272" i="1"/>
  <c r="AA1272" i="1"/>
  <c r="O1272" i="1"/>
  <c r="R1272" i="1"/>
  <c r="AB1272" i="1"/>
  <c r="I1272" i="1"/>
  <c r="L1272" i="1"/>
  <c r="AD1272" i="1"/>
  <c r="P1272" i="1"/>
  <c r="AE1272" i="1"/>
  <c r="AI1272" i="1"/>
  <c r="AO1272" i="1"/>
  <c r="J1272" i="1"/>
  <c r="AN1270" i="1"/>
  <c r="AM1270" i="1"/>
  <c r="AK1270" i="1"/>
  <c r="AH1270" i="1"/>
  <c r="AG1270" i="1"/>
  <c r="AE1270" i="1"/>
  <c r="AD1270" i="1"/>
  <c r="AB1270" i="1"/>
  <c r="AA1270" i="1"/>
  <c r="Y1270" i="1"/>
  <c r="X1270" i="1"/>
  <c r="V1270" i="1"/>
  <c r="U1270" i="1"/>
  <c r="S1270" i="1"/>
  <c r="R1270" i="1"/>
  <c r="P1270" i="1"/>
  <c r="O1270" i="1"/>
  <c r="M1270" i="1"/>
  <c r="L1270" i="1"/>
  <c r="I1270" i="1"/>
  <c r="H1270" i="1"/>
  <c r="AJ1272" i="1" l="1"/>
  <c r="Z1272" i="1"/>
  <c r="W1272" i="1"/>
  <c r="T1272" i="1"/>
  <c r="AC1272" i="1"/>
  <c r="Q1272" i="1"/>
  <c r="N1272" i="1"/>
  <c r="AF1272" i="1"/>
  <c r="T1270" i="1"/>
  <c r="W1270" i="1"/>
  <c r="AO1270" i="1"/>
  <c r="Z1270" i="1"/>
  <c r="AF1270" i="1"/>
  <c r="AC1270" i="1"/>
  <c r="Q1270" i="1"/>
  <c r="AI1270" i="1"/>
  <c r="AJ1270" i="1"/>
  <c r="N1270" i="1"/>
  <c r="J1270" i="1"/>
  <c r="AN1267" i="1" l="1"/>
  <c r="AM1267" i="1"/>
  <c r="AK1267" i="1"/>
  <c r="AH1267" i="1"/>
  <c r="AG1267" i="1"/>
  <c r="AE1267" i="1"/>
  <c r="AD1267" i="1"/>
  <c r="AB1267" i="1"/>
  <c r="AA1267" i="1"/>
  <c r="Y1267" i="1"/>
  <c r="X1267" i="1"/>
  <c r="V1267" i="1"/>
  <c r="U1267" i="1"/>
  <c r="S1267" i="1"/>
  <c r="R1267" i="1"/>
  <c r="P1267" i="1"/>
  <c r="O1267" i="1"/>
  <c r="M1267" i="1"/>
  <c r="L1267" i="1"/>
  <c r="I1267" i="1"/>
  <c r="H1267" i="1"/>
  <c r="AI1267" i="1" l="1"/>
  <c r="Q1267" i="1"/>
  <c r="T1267" i="1"/>
  <c r="Z1267" i="1"/>
  <c r="W1267" i="1"/>
  <c r="N1267" i="1"/>
  <c r="AF1267" i="1"/>
  <c r="AO1267" i="1"/>
  <c r="AJ1267" i="1"/>
  <c r="AC1267" i="1"/>
  <c r="J1267" i="1"/>
  <c r="AN1262" i="1"/>
  <c r="AM1262" i="1"/>
  <c r="AH1262" i="1"/>
  <c r="AG1262" i="1"/>
  <c r="AE1262" i="1"/>
  <c r="AD1262" i="1"/>
  <c r="AB1262" i="1"/>
  <c r="AA1262" i="1"/>
  <c r="Y1262" i="1"/>
  <c r="X1262" i="1"/>
  <c r="V1262" i="1"/>
  <c r="U1262" i="1"/>
  <c r="S1262" i="1"/>
  <c r="R1262" i="1"/>
  <c r="P1262" i="1"/>
  <c r="O1262" i="1"/>
  <c r="M1262" i="1"/>
  <c r="L1262" i="1"/>
  <c r="I1262" i="1"/>
  <c r="H1262" i="1"/>
  <c r="AI1262" i="1" l="1"/>
  <c r="N1262" i="1"/>
  <c r="Z1262" i="1"/>
  <c r="Q1262" i="1"/>
  <c r="AC1262" i="1"/>
  <c r="AO1262" i="1"/>
  <c r="T1262" i="1"/>
  <c r="AF1262" i="1"/>
  <c r="J1262" i="1"/>
  <c r="W1262" i="1"/>
  <c r="AJ1262" i="1"/>
  <c r="AN1257" i="1" l="1"/>
  <c r="AM1257" i="1"/>
  <c r="AH1257" i="1"/>
  <c r="AG1257" i="1"/>
  <c r="AE1257" i="1"/>
  <c r="AD1257" i="1"/>
  <c r="AB1257" i="1"/>
  <c r="AA1257" i="1"/>
  <c r="Y1257" i="1"/>
  <c r="X1257" i="1"/>
  <c r="V1257" i="1"/>
  <c r="U1257" i="1"/>
  <c r="S1257" i="1"/>
  <c r="R1257" i="1"/>
  <c r="P1257" i="1"/>
  <c r="O1257" i="1"/>
  <c r="M1257" i="1"/>
  <c r="L1257" i="1"/>
  <c r="I1257" i="1"/>
  <c r="H1257" i="1"/>
  <c r="AC1257" i="1" l="1"/>
  <c r="Q1257" i="1"/>
  <c r="AI1257" i="1"/>
  <c r="J1257" i="1"/>
  <c r="W1257" i="1"/>
  <c r="AJ1257" i="1"/>
  <c r="T1257" i="1"/>
  <c r="AF1257" i="1"/>
  <c r="N1257" i="1"/>
  <c r="Z1257" i="1"/>
  <c r="AO1257" i="1"/>
  <c r="AK1262" i="1" l="1"/>
  <c r="AK1257" i="1"/>
  <c r="AQ1270" i="1" l="1"/>
  <c r="AQ1272" i="1" l="1"/>
  <c r="AR1272" i="1" l="1"/>
  <c r="AR1270" i="1"/>
  <c r="AS1272" i="1"/>
  <c r="AS1270" i="1"/>
  <c r="D1270" i="1"/>
  <c r="C1270" i="1"/>
  <c r="C1272" i="1" l="1"/>
  <c r="D1272" i="1"/>
  <c r="B1270" i="1"/>
  <c r="E1270" i="1"/>
  <c r="E1272" i="1" l="1"/>
  <c r="B1272" i="1"/>
  <c r="F1272" i="1" l="1"/>
  <c r="AT1270" i="1"/>
  <c r="F1270" i="1"/>
  <c r="G1272" i="1" l="1"/>
  <c r="AU1272" i="1" s="1"/>
  <c r="AT1272" i="1"/>
  <c r="G1270" i="1"/>
  <c r="AU1270" i="1" s="1"/>
  <c r="AV1270" i="1" s="1"/>
  <c r="AQ1262" i="1"/>
  <c r="AV1272" i="1" l="1"/>
  <c r="AS1262" i="1"/>
  <c r="AR1262" i="1"/>
  <c r="AQ1257" i="1" l="1"/>
  <c r="AR1257" i="1"/>
  <c r="AS1257" i="1"/>
  <c r="D1262" i="1" l="1"/>
  <c r="C1262" i="1"/>
  <c r="B1262" i="1"/>
  <c r="E1262" i="1" l="1"/>
  <c r="F1262" i="1" l="1"/>
  <c r="AT1262" i="1"/>
  <c r="G1262" i="1" l="1"/>
  <c r="AU1262" i="1" s="1"/>
  <c r="AQ1267" i="1" l="1"/>
  <c r="AS1267" i="1"/>
  <c r="AR1267" i="1"/>
  <c r="D1257" i="1" l="1"/>
  <c r="E1257" i="1" l="1"/>
  <c r="C1257" i="1"/>
  <c r="B1257" i="1"/>
  <c r="F1257" i="1" l="1"/>
  <c r="G1257" i="1" l="1"/>
  <c r="AU1257" i="1" s="1"/>
  <c r="AV1257" i="1" s="1"/>
  <c r="AV1258" i="1" s="1"/>
  <c r="AV1259" i="1" s="1"/>
  <c r="AV1260" i="1" s="1"/>
  <c r="AV1261" i="1" s="1"/>
  <c r="AV1262" i="1" s="1"/>
  <c r="AT1257" i="1" l="1"/>
  <c r="C1267" i="1" l="1"/>
  <c r="E1267" i="1"/>
  <c r="D1267" i="1"/>
  <c r="B1267" i="1"/>
  <c r="F1267" i="1" l="1"/>
  <c r="G1267" i="1" l="1"/>
  <c r="AU1267" i="1" s="1"/>
  <c r="AV1267" i="1" s="1"/>
  <c r="AT126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Thi Minh Tam</author>
    <author>Nguyen Phuong Dung</author>
    <author>QUYNH</author>
    <author>Le Thao Hien</author>
    <author>Le Thi Thao Hien</author>
    <author>Nguyen Thanh Tuong Vi</author>
  </authors>
  <commentList>
    <comment ref="I57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BLS</t>
        </r>
      </text>
    </comment>
    <comment ref="I59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BLS</t>
        </r>
      </text>
    </comment>
    <comment ref="I63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BLS</t>
        </r>
      </text>
    </comment>
    <comment ref="I66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BLS</t>
        </r>
      </text>
    </comment>
    <comment ref="I67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BLS</t>
        </r>
      </text>
    </comment>
    <comment ref="I69" authorId="1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BLS</t>
        </r>
      </text>
    </comment>
    <comment ref="I75" authorId="1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>BLS 7,663,500,000</t>
        </r>
      </text>
    </comment>
    <comment ref="F77" authorId="1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Prop + VFM 7,169,802,500</t>
        </r>
      </text>
    </comment>
    <comment ref="I81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BLS</t>
        </r>
      </text>
    </comment>
    <comment ref="I83" authorId="1" shapeId="0" xr:uid="{00000000-0006-0000-0000-00000A000000}">
      <text>
        <r>
          <rPr>
            <sz val="11"/>
            <color theme="1"/>
            <rFont val="Calibri"/>
            <family val="2"/>
            <scheme val="minor"/>
          </rPr>
          <t>NH</t>
        </r>
      </text>
    </comment>
    <comment ref="I84" authorId="1" shapeId="0" xr:uid="{00000000-0006-0000-0000-00000B000000}">
      <text>
        <r>
          <rPr>
            <sz val="11"/>
            <color theme="1"/>
            <rFont val="Calibri"/>
            <family val="2"/>
            <scheme val="minor"/>
          </rPr>
          <t>BLS</t>
        </r>
      </text>
    </comment>
    <comment ref="I85" authorId="1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>BLS</t>
        </r>
      </text>
    </comment>
    <comment ref="I89" authorId="1" shapeId="0" xr:uid="{00000000-0006-0000-0000-00000D000000}">
      <text>
        <r>
          <rPr>
            <sz val="11"/>
            <color theme="1"/>
            <rFont val="Calibri"/>
            <family val="2"/>
            <scheme val="minor"/>
          </rPr>
          <t>BLS</t>
        </r>
      </text>
    </comment>
    <comment ref="I96" authorId="1" shapeId="0" xr:uid="{00000000-0006-0000-0000-00000E000000}">
      <text>
        <r>
          <rPr>
            <sz val="11"/>
            <color theme="1"/>
            <rFont val="Calibri"/>
            <family val="2"/>
            <scheme val="minor"/>
          </rPr>
          <t>BLS</t>
        </r>
      </text>
    </comment>
    <comment ref="I99" authorId="1" shapeId="0" xr:uid="{00000000-0006-0000-0000-00000F000000}">
      <text>
        <r>
          <rPr>
            <sz val="11"/>
            <color theme="1"/>
            <rFont val="Calibri"/>
            <family val="2"/>
            <scheme val="minor"/>
          </rPr>
          <t>BLS + Kis</t>
        </r>
      </text>
    </comment>
    <comment ref="I107" authorId="1" shapeId="0" xr:uid="{00000000-0006-0000-0000-000010000000}">
      <text>
        <r>
          <rPr>
            <sz val="11"/>
            <color theme="1"/>
            <rFont val="Calibri"/>
            <family val="2"/>
            <scheme val="minor"/>
          </rPr>
          <t>Kis</t>
        </r>
      </text>
    </comment>
    <comment ref="I111" authorId="1" shapeId="0" xr:uid="{00000000-0006-0000-0000-000011000000}">
      <text>
        <r>
          <rPr>
            <sz val="11"/>
            <color theme="1"/>
            <rFont val="Calibri"/>
            <family val="2"/>
            <scheme val="minor"/>
          </rPr>
          <t>KIS</t>
        </r>
      </text>
    </comment>
    <comment ref="I123" authorId="1" shapeId="0" xr:uid="{00000000-0006-0000-0000-000012000000}">
      <text>
        <r>
          <rPr>
            <sz val="11"/>
            <color theme="1"/>
            <rFont val="Calibri"/>
            <family val="2"/>
            <scheme val="minor"/>
          </rPr>
          <t>BLS</t>
        </r>
      </text>
    </comment>
    <comment ref="I124" authorId="1" shapeId="0" xr:uid="{00000000-0006-0000-0000-000013000000}">
      <text>
        <r>
          <rPr>
            <sz val="11"/>
            <color theme="1"/>
            <rFont val="Calibri"/>
            <family val="2"/>
            <scheme val="minor"/>
          </rPr>
          <t>BLS</t>
        </r>
      </text>
    </comment>
    <comment ref="I125" authorId="1" shapeId="0" xr:uid="{00000000-0006-0000-0000-000014000000}">
      <text>
        <r>
          <rPr>
            <sz val="11"/>
            <color theme="1"/>
            <rFont val="Calibri"/>
            <family val="2"/>
            <scheme val="minor"/>
          </rPr>
          <t>BLS</t>
        </r>
      </text>
    </comment>
    <comment ref="I144" authorId="1" shapeId="0" xr:uid="{00000000-0006-0000-0000-000015000000}">
      <text>
        <r>
          <rPr>
            <sz val="11"/>
            <color theme="1"/>
            <rFont val="Calibri"/>
            <family val="2"/>
            <scheme val="minor"/>
          </rPr>
          <t>BLS</t>
        </r>
      </text>
    </comment>
    <comment ref="I148" authorId="1" shapeId="0" xr:uid="{00000000-0006-0000-0000-000016000000}">
      <text>
        <r>
          <rPr>
            <sz val="11"/>
            <color theme="1"/>
            <rFont val="Calibri"/>
            <family val="2"/>
            <scheme val="minor"/>
          </rPr>
          <t>BLS</t>
        </r>
      </text>
    </comment>
    <comment ref="I149" authorId="1" shapeId="0" xr:uid="{00000000-0006-0000-0000-000017000000}">
      <text>
        <r>
          <rPr>
            <sz val="11"/>
            <color theme="1"/>
            <rFont val="Calibri"/>
            <family val="2"/>
            <scheme val="minor"/>
          </rPr>
          <t>BLS</t>
        </r>
      </text>
    </comment>
    <comment ref="I150" authorId="1" shapeId="0" xr:uid="{00000000-0006-0000-0000-000018000000}">
      <text>
        <r>
          <rPr>
            <sz val="11"/>
            <color theme="1"/>
            <rFont val="Calibri"/>
            <family val="2"/>
            <scheme val="minor"/>
          </rPr>
          <t>BLS</t>
        </r>
      </text>
    </comment>
    <comment ref="I151" authorId="1" shapeId="0" xr:uid="{00000000-0006-0000-0000-000019000000}">
      <text>
        <r>
          <rPr>
            <sz val="11"/>
            <color theme="1"/>
            <rFont val="Calibri"/>
            <family val="2"/>
            <scheme val="minor"/>
          </rPr>
          <t>BLS</t>
        </r>
      </text>
    </comment>
    <comment ref="I154" authorId="1" shapeId="0" xr:uid="{00000000-0006-0000-0000-00001A000000}">
      <text>
        <r>
          <rPr>
            <sz val="11"/>
            <color theme="1"/>
            <rFont val="Calibri"/>
            <family val="2"/>
            <scheme val="minor"/>
          </rPr>
          <t>BLS</t>
        </r>
      </text>
    </comment>
    <comment ref="I155" authorId="1" shapeId="0" xr:uid="{00000000-0006-0000-0000-00001B000000}">
      <text>
        <r>
          <rPr>
            <sz val="11"/>
            <color theme="1"/>
            <rFont val="Calibri"/>
            <family val="2"/>
            <scheme val="minor"/>
          </rPr>
          <t>BLS</t>
        </r>
      </text>
    </comment>
    <comment ref="I156" authorId="1" shapeId="0" xr:uid="{00000000-0006-0000-0000-00001C000000}">
      <text>
        <r>
          <rPr>
            <sz val="11"/>
            <color theme="1"/>
            <rFont val="Calibri"/>
            <family val="2"/>
            <scheme val="minor"/>
          </rPr>
          <t>BLS</t>
        </r>
      </text>
    </comment>
    <comment ref="I157" authorId="1" shapeId="0" xr:uid="{00000000-0006-0000-0000-00001D000000}">
      <text>
        <r>
          <rPr>
            <sz val="11"/>
            <color theme="1"/>
            <rFont val="Calibri"/>
            <family val="2"/>
            <scheme val="minor"/>
          </rPr>
          <t>KIS: 1,117,000,000
BLS</t>
        </r>
      </text>
    </comment>
    <comment ref="I159" authorId="2" shapeId="0" xr:uid="{00000000-0006-0000-0000-00001E000000}">
      <text>
        <r>
          <rPr>
            <sz val="11"/>
            <color theme="1"/>
            <rFont val="Calibri"/>
            <family val="2"/>
            <scheme val="minor"/>
          </rPr>
          <t>KIS</t>
        </r>
      </text>
    </comment>
    <comment ref="I161" authorId="1" shapeId="0" xr:uid="{00000000-0006-0000-0000-00001F000000}">
      <text>
        <r>
          <rPr>
            <sz val="11"/>
            <color theme="1"/>
            <rFont val="Calibri"/>
            <family val="2"/>
            <scheme val="minor"/>
          </rPr>
          <t>KIS</t>
        </r>
      </text>
    </comment>
    <comment ref="I162" authorId="1" shapeId="0" xr:uid="{00000000-0006-0000-0000-000020000000}">
      <text>
        <r>
          <rPr>
            <sz val="11"/>
            <color theme="1"/>
            <rFont val="Calibri"/>
            <family val="2"/>
            <scheme val="minor"/>
          </rPr>
          <t>NH: 269,500,000
BLS: 10,813,000,000</t>
        </r>
      </text>
    </comment>
    <comment ref="I164" authorId="1" shapeId="0" xr:uid="{00000000-0006-0000-0000-000021000000}">
      <text>
        <r>
          <rPr>
            <sz val="11"/>
            <color theme="1"/>
            <rFont val="Calibri"/>
            <family val="2"/>
            <scheme val="minor"/>
          </rPr>
          <t>BLS: 4,070,000,000
KIS: 2,022,900,000</t>
        </r>
      </text>
    </comment>
    <comment ref="I165" authorId="1" shapeId="0" xr:uid="{00000000-0006-0000-0000-000022000000}">
      <text>
        <r>
          <rPr>
            <sz val="11"/>
            <color theme="1"/>
            <rFont val="Calibri"/>
            <family val="2"/>
            <scheme val="minor"/>
          </rPr>
          <t>BLS</t>
        </r>
      </text>
    </comment>
    <comment ref="I168" authorId="1" shapeId="0" xr:uid="{00000000-0006-0000-0000-000023000000}">
      <text>
        <r>
          <rPr>
            <sz val="11"/>
            <color theme="1"/>
            <rFont val="Calibri"/>
            <family val="2"/>
            <scheme val="minor"/>
          </rPr>
          <t>KIS: 14,874,000,000
BLS: 5,285,00,000</t>
        </r>
      </text>
    </comment>
    <comment ref="I172" authorId="2" shapeId="0" xr:uid="{00000000-0006-0000-0000-000024000000}">
      <text>
        <r>
          <rPr>
            <sz val="11"/>
            <color theme="1"/>
            <rFont val="Calibri"/>
            <family val="2"/>
            <scheme val="minor"/>
          </rPr>
          <t>BLS</t>
        </r>
      </text>
    </comment>
    <comment ref="I173" authorId="2" shapeId="0" xr:uid="{00000000-0006-0000-0000-000025000000}">
      <text>
        <r>
          <rPr>
            <sz val="11"/>
            <color theme="1"/>
            <rFont val="Calibri"/>
            <family val="2"/>
            <scheme val="minor"/>
          </rPr>
          <t>BLS</t>
        </r>
      </text>
    </comment>
    <comment ref="I178" authorId="1" shapeId="0" xr:uid="{00000000-0006-0000-0000-000026000000}">
      <text>
        <r>
          <rPr>
            <sz val="11"/>
            <color theme="1"/>
            <rFont val="Calibri"/>
            <family val="2"/>
            <scheme val="minor"/>
          </rPr>
          <t>BLS</t>
        </r>
      </text>
    </comment>
    <comment ref="I179" authorId="1" shapeId="0" xr:uid="{00000000-0006-0000-0000-000027000000}">
      <text>
        <r>
          <rPr>
            <sz val="11"/>
            <color theme="1"/>
            <rFont val="Calibri"/>
            <family val="2"/>
            <scheme val="minor"/>
          </rPr>
          <t>NH</t>
        </r>
      </text>
    </comment>
    <comment ref="I182" authorId="1" shapeId="0" xr:uid="{00000000-0006-0000-0000-000028000000}">
      <text>
        <r>
          <rPr>
            <sz val="11"/>
            <color theme="1"/>
            <rFont val="Calibri"/>
            <family val="2"/>
            <scheme val="minor"/>
          </rPr>
          <t>KIS</t>
        </r>
      </text>
    </comment>
    <comment ref="I183" authorId="1" shapeId="0" xr:uid="{00000000-0006-0000-0000-000029000000}">
      <text>
        <r>
          <rPr>
            <sz val="11"/>
            <color theme="1"/>
            <rFont val="Calibri"/>
            <family val="2"/>
            <scheme val="minor"/>
          </rPr>
          <t>KIS</t>
        </r>
      </text>
    </comment>
    <comment ref="AJ186" authorId="1" shapeId="0" xr:uid="{00000000-0006-0000-0000-00002A000000}">
      <text>
        <r>
          <rPr>
            <sz val="11"/>
            <color theme="1"/>
            <rFont val="Calibri"/>
            <family val="2"/>
            <scheme val="minor"/>
          </rPr>
          <t>tinh den cuoi thang</t>
        </r>
      </text>
    </comment>
    <comment ref="AL186" authorId="1" shapeId="0" xr:uid="{00000000-0006-0000-0000-00002B000000}">
      <text>
        <r>
          <rPr>
            <sz val="11"/>
            <color theme="1"/>
            <rFont val="Calibri"/>
            <family val="2"/>
            <scheme val="minor"/>
          </rPr>
          <t>margin managemnet fee</t>
        </r>
      </text>
    </comment>
    <comment ref="AM186" authorId="1" shapeId="0" xr:uid="{00000000-0006-0000-0000-00002C000000}">
      <text>
        <r>
          <rPr>
            <sz val="11"/>
            <color theme="1"/>
            <rFont val="Calibri"/>
            <family val="2"/>
            <scheme val="minor"/>
          </rPr>
          <t>margin managemnet fee</t>
        </r>
      </text>
    </comment>
    <comment ref="AL187" authorId="1" shapeId="0" xr:uid="{00000000-0006-0000-0000-00002D000000}">
      <text>
        <r>
          <rPr>
            <sz val="11"/>
            <color theme="1"/>
            <rFont val="Calibri"/>
            <family val="2"/>
            <scheme val="minor"/>
          </rPr>
          <t>Phí SC ngày 28.4.20</t>
        </r>
      </text>
    </comment>
    <comment ref="AM187" authorId="1" shapeId="0" xr:uid="{00000000-0006-0000-0000-00002E000000}">
      <text>
        <r>
          <rPr>
            <sz val="11"/>
            <color theme="1"/>
            <rFont val="Calibri"/>
            <family val="2"/>
            <scheme val="minor"/>
          </rPr>
          <t>Phí SC ngày 28.4.20</t>
        </r>
      </text>
    </comment>
    <comment ref="I190" authorId="1" shapeId="0" xr:uid="{00000000-0006-0000-0000-00002F000000}">
      <text>
        <r>
          <rPr>
            <sz val="11"/>
            <color theme="1"/>
            <rFont val="Calibri"/>
            <family val="2"/>
            <scheme val="minor"/>
          </rPr>
          <t>BLS</t>
        </r>
      </text>
    </comment>
    <comment ref="I191" authorId="1" shapeId="0" xr:uid="{00000000-0006-0000-0000-000030000000}">
      <text>
        <r>
          <rPr>
            <sz val="11"/>
            <color theme="1"/>
            <rFont val="Calibri"/>
            <family val="2"/>
            <scheme val="minor"/>
          </rPr>
          <t>KIS</t>
        </r>
      </text>
    </comment>
    <comment ref="I192" authorId="1" shapeId="0" xr:uid="{00000000-0006-0000-0000-000031000000}">
      <text>
        <r>
          <rPr>
            <sz val="11"/>
            <color theme="1"/>
            <rFont val="Calibri"/>
            <family val="2"/>
            <scheme val="minor"/>
          </rPr>
          <t>KIS</t>
        </r>
      </text>
    </comment>
    <comment ref="I193" authorId="1" shapeId="0" xr:uid="{00000000-0006-0000-0000-000032000000}">
      <text>
        <r>
          <rPr>
            <sz val="11"/>
            <color theme="1"/>
            <rFont val="Calibri"/>
            <family val="2"/>
            <scheme val="minor"/>
          </rPr>
          <t>NH: 505,323,000
Còn lại là KIS</t>
        </r>
      </text>
    </comment>
    <comment ref="L197" authorId="1" shapeId="0" xr:uid="{00000000-0006-0000-0000-000033000000}">
      <text>
        <r>
          <rPr>
            <sz val="11"/>
            <color theme="1"/>
            <rFont val="Calibri"/>
            <family val="2"/>
            <scheme val="minor"/>
          </rPr>
          <t>PT: VCSC</t>
        </r>
      </text>
    </comment>
    <comment ref="I198" authorId="1" shapeId="0" xr:uid="{00000000-0006-0000-0000-000034000000}">
      <text>
        <r>
          <rPr>
            <sz val="11"/>
            <color theme="1"/>
            <rFont val="Calibri"/>
            <family val="2"/>
            <scheme val="minor"/>
          </rPr>
          <t>KIS</t>
        </r>
      </text>
    </comment>
    <comment ref="I199" authorId="1" shapeId="0" xr:uid="{00000000-0006-0000-0000-000035000000}">
      <text>
        <r>
          <rPr>
            <sz val="11"/>
            <color theme="1"/>
            <rFont val="Calibri"/>
            <family val="2"/>
            <scheme val="minor"/>
          </rPr>
          <t>NH</t>
        </r>
      </text>
    </comment>
    <comment ref="I201" authorId="1" shapeId="0" xr:uid="{00000000-0006-0000-0000-000036000000}">
      <text>
        <r>
          <rPr>
            <sz val="11"/>
            <color theme="1"/>
            <rFont val="Calibri"/>
            <family val="2"/>
            <scheme val="minor"/>
          </rPr>
          <t>KIS</t>
        </r>
      </text>
    </comment>
    <comment ref="I202" authorId="1" shapeId="0" xr:uid="{00000000-0006-0000-0000-000037000000}">
      <text>
        <r>
          <rPr>
            <sz val="11"/>
            <color theme="1"/>
            <rFont val="Calibri"/>
            <family val="2"/>
            <scheme val="minor"/>
          </rPr>
          <t>BLS: 2,661,000,000
còn lài KIS</t>
        </r>
      </text>
    </comment>
    <comment ref="I204" authorId="1" shapeId="0" xr:uid="{00000000-0006-0000-0000-000038000000}">
      <text>
        <r>
          <rPr>
            <sz val="11"/>
            <color theme="1"/>
            <rFont val="Calibri"/>
            <family val="2"/>
            <scheme val="minor"/>
          </rPr>
          <t>KIS</t>
        </r>
      </text>
    </comment>
    <comment ref="I205" authorId="1" shapeId="0" xr:uid="{00000000-0006-0000-0000-000039000000}">
      <text>
        <r>
          <rPr>
            <sz val="11"/>
            <color theme="1"/>
            <rFont val="Calibri"/>
            <family val="2"/>
            <scheme val="minor"/>
          </rPr>
          <t>KIS</t>
        </r>
      </text>
    </comment>
    <comment ref="AL205" authorId="0" shapeId="0" xr:uid="{00000000-0006-0000-0000-00003A000000}">
      <text>
        <r>
          <rPr>
            <sz val="11"/>
            <color theme="1"/>
            <rFont val="Calibri"/>
            <family val="2"/>
            <scheme val="minor"/>
          </rPr>
          <t>hạch toán qua tháng 6 600k</t>
        </r>
      </text>
    </comment>
    <comment ref="AM205" authorId="0" shapeId="0" xr:uid="{00000000-0006-0000-0000-00003B000000}">
      <text>
        <r>
          <rPr>
            <sz val="11"/>
            <color theme="1"/>
            <rFont val="Calibri"/>
            <family val="2"/>
            <scheme val="minor"/>
          </rPr>
          <t>hạch toán qua tháng 6 600k</t>
        </r>
      </text>
    </comment>
    <comment ref="I206" authorId="1" shapeId="0" xr:uid="{00000000-0006-0000-0000-00003C000000}">
      <text>
        <r>
          <rPr>
            <sz val="11"/>
            <color theme="1"/>
            <rFont val="Calibri"/>
            <family val="2"/>
            <scheme val="minor"/>
          </rPr>
          <t>KIS</t>
        </r>
      </text>
    </comment>
    <comment ref="AL206" authorId="0" shapeId="0" xr:uid="{00000000-0006-0000-0000-00003D000000}">
      <text>
        <r>
          <rPr>
            <sz val="11"/>
            <color theme="1"/>
            <rFont val="Calibri"/>
            <family val="2"/>
            <scheme val="minor"/>
          </rPr>
          <t>margin management</t>
        </r>
      </text>
    </comment>
    <comment ref="AM206" authorId="0" shapeId="0" xr:uid="{00000000-0006-0000-0000-00003E000000}">
      <text>
        <r>
          <rPr>
            <sz val="11"/>
            <color theme="1"/>
            <rFont val="Calibri"/>
            <family val="2"/>
            <scheme val="minor"/>
          </rPr>
          <t>margin management</t>
        </r>
      </text>
    </comment>
    <comment ref="I207" authorId="1" shapeId="0" xr:uid="{00000000-0006-0000-0000-00003F000000}">
      <text>
        <r>
          <rPr>
            <sz val="11"/>
            <color theme="1"/>
            <rFont val="Calibri"/>
            <family val="2"/>
            <scheme val="minor"/>
          </rPr>
          <t>KIS</t>
        </r>
      </text>
    </comment>
    <comment ref="AL207" authorId="0" shapeId="0" xr:uid="{00000000-0006-0000-0000-000040000000}">
      <text>
        <r>
          <rPr>
            <sz val="11"/>
            <color theme="1"/>
            <rFont val="Calibri"/>
            <family val="2"/>
            <scheme val="minor"/>
          </rPr>
          <t>bán hộ ngày 28/05+phí quản lý TSKQ</t>
        </r>
      </text>
    </comment>
    <comment ref="AM207" authorId="0" shapeId="0" xr:uid="{00000000-0006-0000-0000-000041000000}">
      <text>
        <r>
          <rPr>
            <sz val="11"/>
            <color theme="1"/>
            <rFont val="Calibri"/>
            <family val="2"/>
            <scheme val="minor"/>
          </rPr>
          <t>bán hộ ngày 28/05+phí quản lý TSKQ</t>
        </r>
      </text>
    </comment>
    <comment ref="I215" authorId="1" shapeId="0" xr:uid="{00000000-0006-0000-0000-000042000000}">
      <text>
        <r>
          <rPr>
            <sz val="11"/>
            <color theme="1"/>
            <rFont val="Calibri"/>
            <family val="2"/>
            <scheme val="minor"/>
          </rPr>
          <t>KIS</t>
        </r>
      </text>
    </comment>
    <comment ref="I217" authorId="1" shapeId="0" xr:uid="{00000000-0006-0000-0000-000043000000}">
      <text>
        <r>
          <rPr>
            <sz val="11"/>
            <color theme="1"/>
            <rFont val="Calibri"/>
            <family val="2"/>
            <scheme val="minor"/>
          </rPr>
          <t>KIS</t>
        </r>
      </text>
    </comment>
    <comment ref="AL221" authorId="0" shapeId="0" xr:uid="{00000000-0006-0000-0000-000044000000}">
      <text>
        <r>
          <rPr>
            <sz val="11"/>
            <color theme="1"/>
            <rFont val="Calibri"/>
            <family val="2"/>
            <scheme val="minor"/>
          </rPr>
          <t>SSIAM</t>
        </r>
      </text>
    </comment>
    <comment ref="AM221" authorId="0" shapeId="0" xr:uid="{00000000-0006-0000-0000-000045000000}">
      <text>
        <r>
          <rPr>
            <sz val="11"/>
            <color theme="1"/>
            <rFont val="Calibri"/>
            <family val="2"/>
            <scheme val="minor"/>
          </rPr>
          <t>SSIAM</t>
        </r>
      </text>
    </comment>
    <comment ref="I222" authorId="1" shapeId="0" xr:uid="{00000000-0006-0000-0000-000046000000}">
      <text>
        <r>
          <rPr>
            <sz val="11"/>
            <color theme="1"/>
            <rFont val="Calibri"/>
            <family val="2"/>
            <scheme val="minor"/>
          </rPr>
          <t>BLS</t>
        </r>
      </text>
    </comment>
    <comment ref="I223" authorId="1" shapeId="0" xr:uid="{00000000-0006-0000-0000-000047000000}">
      <text>
        <r>
          <rPr>
            <sz val="11"/>
            <color theme="1"/>
            <rFont val="Calibri"/>
            <family val="2"/>
            <scheme val="minor"/>
          </rPr>
          <t>KIS</t>
        </r>
      </text>
    </comment>
    <comment ref="I225" authorId="1" shapeId="0" xr:uid="{00000000-0006-0000-0000-000048000000}">
      <text>
        <r>
          <rPr>
            <sz val="11"/>
            <color theme="1"/>
            <rFont val="Calibri"/>
            <family val="2"/>
            <scheme val="minor"/>
          </rPr>
          <t>KIS</t>
        </r>
      </text>
    </comment>
    <comment ref="AL225" authorId="0" shapeId="0" xr:uid="{00000000-0006-0000-0000-000049000000}">
      <text>
        <r>
          <rPr>
            <sz val="11"/>
            <color theme="1"/>
            <rFont val="Calibri"/>
            <family val="2"/>
            <scheme val="minor"/>
          </rPr>
          <t>SSIAM</t>
        </r>
      </text>
    </comment>
    <comment ref="AM225" authorId="0" shapeId="0" xr:uid="{00000000-0006-0000-0000-00004A000000}">
      <text>
        <r>
          <rPr>
            <sz val="11"/>
            <color theme="1"/>
            <rFont val="Calibri"/>
            <family val="2"/>
            <scheme val="minor"/>
          </rPr>
          <t>SSIAM</t>
        </r>
      </text>
    </comment>
    <comment ref="I227" authorId="1" shapeId="0" xr:uid="{00000000-0006-0000-0000-00004B000000}">
      <text>
        <r>
          <rPr>
            <sz val="11"/>
            <color theme="1"/>
            <rFont val="Calibri"/>
            <family val="2"/>
            <scheme val="minor"/>
          </rPr>
          <t>KIS</t>
        </r>
      </text>
    </comment>
    <comment ref="I228" authorId="1" shapeId="0" xr:uid="{00000000-0006-0000-0000-00004C000000}">
      <text>
        <r>
          <rPr>
            <sz val="11"/>
            <color theme="1"/>
            <rFont val="Calibri"/>
            <family val="2"/>
            <scheme val="minor"/>
          </rPr>
          <t>BLS: 2,571,000,000
Con lai la KIS</t>
        </r>
      </text>
    </comment>
    <comment ref="I229" authorId="1" shapeId="0" xr:uid="{00000000-0006-0000-0000-00004D000000}">
      <text>
        <r>
          <rPr>
            <sz val="11"/>
            <color theme="1"/>
            <rFont val="Calibri"/>
            <family val="2"/>
            <scheme val="minor"/>
          </rPr>
          <t>KIS</t>
        </r>
      </text>
    </comment>
    <comment ref="AP229" authorId="0" shapeId="0" xr:uid="{00000000-0006-0000-0000-00004E000000}">
      <text>
        <r>
          <rPr>
            <sz val="11"/>
            <color theme="1"/>
            <rFont val="Calibri"/>
            <family val="2"/>
            <scheme val="minor"/>
          </rPr>
          <t>bán hộ ngày 26, 30/6</t>
        </r>
      </text>
    </comment>
    <comment ref="I230" authorId="1" shapeId="0" xr:uid="{00000000-0006-0000-0000-00004F000000}">
      <text>
        <r>
          <rPr>
            <sz val="11"/>
            <color theme="1"/>
            <rFont val="Calibri"/>
            <family val="2"/>
            <scheme val="minor"/>
          </rPr>
          <t>KIS</t>
        </r>
      </text>
    </comment>
    <comment ref="I231" authorId="1" shapeId="0" xr:uid="{00000000-0006-0000-0000-000050000000}">
      <text>
        <r>
          <rPr>
            <sz val="11"/>
            <color theme="1"/>
            <rFont val="Calibri"/>
            <family val="2"/>
            <scheme val="minor"/>
          </rPr>
          <t>KIS: 5,247,000,000
Còn lại BLS</t>
        </r>
      </text>
    </comment>
    <comment ref="AP231" authorId="1" shapeId="0" xr:uid="{00000000-0006-0000-0000-000051000000}">
      <text>
        <r>
          <rPr>
            <sz val="11"/>
            <color theme="1"/>
            <rFont val="Calibri"/>
            <family val="2"/>
            <scheme val="minor"/>
          </rPr>
          <t>VFM: 6,754,095
SSIAM: 251,500</t>
        </r>
      </text>
    </comment>
    <comment ref="AP234" authorId="0" shapeId="0" xr:uid="{00000000-0006-0000-0000-000052000000}">
      <text>
        <r>
          <rPr>
            <sz val="11"/>
            <color theme="1"/>
            <rFont val="Calibri"/>
            <family val="2"/>
            <scheme val="minor"/>
          </rPr>
          <t>100k quyết toán phí Finlead</t>
        </r>
      </text>
    </comment>
    <comment ref="I236" authorId="1" shapeId="0" xr:uid="{00000000-0006-0000-0000-000053000000}">
      <text>
        <r>
          <rPr>
            <sz val="11"/>
            <color theme="1"/>
            <rFont val="Calibri"/>
            <family val="2"/>
            <scheme val="minor"/>
          </rPr>
          <t>KIS</t>
        </r>
      </text>
    </comment>
    <comment ref="I240" authorId="1" shapeId="0" xr:uid="{00000000-0006-0000-0000-000054000000}">
      <text>
        <r>
          <rPr>
            <sz val="11"/>
            <color theme="1"/>
            <rFont val="Calibri"/>
            <family val="2"/>
            <scheme val="minor"/>
          </rPr>
          <t>KIS</t>
        </r>
      </text>
    </comment>
    <comment ref="I243" authorId="1" shapeId="0" xr:uid="{00000000-0006-0000-0000-000055000000}">
      <text>
        <r>
          <rPr>
            <sz val="11"/>
            <color theme="1"/>
            <rFont val="Calibri"/>
            <family val="2"/>
            <scheme val="minor"/>
          </rPr>
          <t>BLS</t>
        </r>
      </text>
    </comment>
    <comment ref="I246" authorId="1" shapeId="0" xr:uid="{00000000-0006-0000-0000-000056000000}">
      <text>
        <r>
          <rPr>
            <sz val="11"/>
            <color theme="1"/>
            <rFont val="Calibri"/>
            <family val="2"/>
            <scheme val="minor"/>
          </rPr>
          <t>1,327,000: KIS</t>
        </r>
      </text>
    </comment>
    <comment ref="I248" authorId="1" shapeId="0" xr:uid="{00000000-0006-0000-0000-000057000000}">
      <text>
        <r>
          <rPr>
            <sz val="11"/>
            <color theme="1"/>
            <rFont val="Calibri"/>
            <family val="2"/>
            <scheme val="minor"/>
          </rPr>
          <t>383,377,000: NH</t>
        </r>
      </text>
    </comment>
    <comment ref="I249" authorId="1" shapeId="0" xr:uid="{00000000-0006-0000-0000-000058000000}">
      <text>
        <r>
          <rPr>
            <sz val="11"/>
            <color theme="1"/>
            <rFont val="Calibri"/>
            <family val="2"/>
            <scheme val="minor"/>
          </rPr>
          <t>BLS: 1,226,500,500
KIS: con lai</t>
        </r>
      </text>
    </comment>
    <comment ref="I252" authorId="1" shapeId="0" xr:uid="{00000000-0006-0000-0000-000059000000}">
      <text>
        <r>
          <rPr>
            <sz val="11"/>
            <color theme="1"/>
            <rFont val="Calibri"/>
            <family val="2"/>
            <scheme val="minor"/>
          </rPr>
          <t>KIS: 2,512,000,000
NH: 428,400,000
còn lại BLS</t>
        </r>
      </text>
    </comment>
    <comment ref="AN252" authorId="1" shapeId="0" xr:uid="{00000000-0006-0000-0000-00005A000000}">
      <text>
        <r>
          <rPr>
            <sz val="11"/>
            <color theme="1"/>
            <rFont val="Calibri"/>
            <family val="2"/>
            <scheme val="minor"/>
          </rPr>
          <t>Phí QLVT ngày 1-2/8</t>
        </r>
      </text>
    </comment>
    <comment ref="AP252" authorId="1" shapeId="0" xr:uid="{00000000-0006-0000-0000-00005B000000}">
      <text>
        <r>
          <rPr>
            <sz val="11"/>
            <color theme="1"/>
            <rFont val="Calibri"/>
            <family val="2"/>
            <scheme val="minor"/>
          </rPr>
          <t>VFM: 8,368,920
FIN: 222,300</t>
        </r>
      </text>
    </comment>
    <comment ref="H257" authorId="1" shapeId="0" xr:uid="{00000000-0006-0000-0000-00005C000000}">
      <text>
        <r>
          <rPr>
            <sz val="11"/>
            <color theme="1"/>
            <rFont val="Calibri"/>
            <family val="2"/>
            <scheme val="minor"/>
          </rPr>
          <t>NH: 736,644,400
Còn lại KIS</t>
        </r>
      </text>
    </comment>
    <comment ref="M257" authorId="1" shapeId="0" xr:uid="{00000000-0006-0000-0000-00005D000000}">
      <text>
        <r>
          <rPr>
            <sz val="11"/>
            <color theme="1"/>
            <rFont val="Calibri"/>
            <family val="2"/>
            <scheme val="minor"/>
          </rPr>
          <t>EFGHermes</t>
        </r>
      </text>
    </comment>
    <comment ref="AP259" authorId="1" shapeId="0" xr:uid="{00000000-0006-0000-0000-00005E000000}">
      <text>
        <r>
          <rPr>
            <sz val="11"/>
            <color theme="1"/>
            <rFont val="Calibri"/>
            <family val="2"/>
            <scheme val="minor"/>
          </rPr>
          <t>Fin</t>
        </r>
      </text>
    </comment>
    <comment ref="I260" authorId="1" shapeId="0" xr:uid="{00000000-0006-0000-0000-00005F000000}">
      <text>
        <r>
          <rPr>
            <sz val="11"/>
            <color theme="1"/>
            <rFont val="Calibri"/>
            <family val="2"/>
            <scheme val="minor"/>
          </rPr>
          <t>KIS: 37,230,000,000
Còn lại BLS</t>
        </r>
      </text>
    </comment>
    <comment ref="I261" authorId="1" shapeId="0" xr:uid="{00000000-0006-0000-0000-000060000000}">
      <text>
        <r>
          <rPr>
            <sz val="11"/>
            <color theme="1"/>
            <rFont val="Calibri"/>
            <family val="2"/>
            <scheme val="minor"/>
          </rPr>
          <t>KIS</t>
        </r>
      </text>
    </comment>
    <comment ref="I263" authorId="1" shapeId="0" xr:uid="{00000000-0006-0000-0000-000061000000}">
      <text>
        <r>
          <rPr>
            <sz val="11"/>
            <color theme="1"/>
            <rFont val="Calibri"/>
            <family val="2"/>
            <scheme val="minor"/>
          </rPr>
          <t>BLS</t>
        </r>
      </text>
    </comment>
    <comment ref="C265" authorId="1" shapeId="0" xr:uid="{00000000-0006-0000-0000-000062000000}">
      <text>
        <r>
          <rPr>
            <sz val="11"/>
            <color theme="1"/>
            <rFont val="Calibri"/>
            <family val="2"/>
            <scheme val="minor"/>
          </rPr>
          <t>Fin</t>
        </r>
      </text>
    </comment>
    <comment ref="I265" authorId="1" shapeId="0" xr:uid="{00000000-0006-0000-0000-000063000000}">
      <text>
        <r>
          <rPr>
            <sz val="11"/>
            <color theme="1"/>
            <rFont val="Calibri"/>
            <family val="2"/>
            <scheme val="minor"/>
          </rPr>
          <t>BLS</t>
        </r>
      </text>
    </comment>
    <comment ref="AP265" authorId="1" shapeId="0" xr:uid="{00000000-0006-0000-0000-000064000000}">
      <text>
        <r>
          <rPr>
            <sz val="11"/>
            <color theme="1"/>
            <rFont val="Calibri"/>
            <family val="2"/>
            <scheme val="minor"/>
          </rPr>
          <t>Fin</t>
        </r>
      </text>
    </comment>
    <comment ref="I267" authorId="1" shapeId="0" xr:uid="{00000000-0006-0000-0000-000065000000}">
      <text>
        <r>
          <rPr>
            <sz val="11"/>
            <color theme="1"/>
            <rFont val="Calibri"/>
            <family val="2"/>
            <scheme val="minor"/>
          </rPr>
          <t>BLS: 1,351,500,000
Còn lại KIS</t>
        </r>
      </text>
    </comment>
    <comment ref="I268" authorId="1" shapeId="0" xr:uid="{00000000-0006-0000-0000-000066000000}">
      <text>
        <r>
          <rPr>
            <sz val="11"/>
            <color theme="1"/>
            <rFont val="Calibri"/>
            <family val="2"/>
            <scheme val="minor"/>
          </rPr>
          <t>BLS: 1,368,500,000</t>
        </r>
      </text>
    </comment>
    <comment ref="M271" authorId="1" shapeId="0" xr:uid="{00000000-0006-0000-0000-000067000000}">
      <text>
        <r>
          <rPr>
            <sz val="11"/>
            <color theme="1"/>
            <rFont val="Calibri"/>
            <family val="2"/>
            <scheme val="minor"/>
          </rPr>
          <t>HSC</t>
        </r>
      </text>
    </comment>
    <comment ref="I274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KIS: 22,584,000,000
Còn lại BLS</t>
        </r>
      </text>
    </comment>
    <comment ref="M274" authorId="1" shapeId="0" xr:uid="{00000000-0006-0000-0000-000069000000}">
      <text>
        <r>
          <rPr>
            <b/>
            <sz val="9"/>
            <color indexed="81"/>
            <rFont val="Tahoma"/>
            <family val="2"/>
          </rPr>
          <t>HSC</t>
        </r>
      </text>
    </comment>
    <comment ref="I278" authorId="1" shapeId="0" xr:uid="{00000000-0006-0000-0000-00006A000000}">
      <text>
        <r>
          <rPr>
            <b/>
            <sz val="9"/>
            <color indexed="81"/>
            <rFont val="Tahoma"/>
            <family val="2"/>
          </rPr>
          <t>BLS</t>
        </r>
      </text>
    </comment>
    <comment ref="I279" authorId="1" shapeId="0" xr:uid="{00000000-0006-0000-0000-00006B000000}">
      <text>
        <r>
          <rPr>
            <b/>
            <sz val="9"/>
            <color indexed="81"/>
            <rFont val="Tahoma"/>
            <family val="2"/>
          </rPr>
          <t xml:space="preserve">BLS
</t>
        </r>
      </text>
    </comment>
    <comment ref="M279" authorId="1" shapeId="0" xr:uid="{00000000-0006-0000-0000-00006C000000}">
      <text>
        <r>
          <rPr>
            <b/>
            <sz val="9"/>
            <color indexed="81"/>
            <rFont val="Tahoma"/>
            <family val="2"/>
          </rPr>
          <t>HSC</t>
        </r>
      </text>
    </comment>
    <comment ref="I283" authorId="1" shapeId="0" xr:uid="{00000000-0006-0000-0000-00006D000000}">
      <text>
        <r>
          <rPr>
            <b/>
            <sz val="9"/>
            <color indexed="81"/>
            <rFont val="Tahoma"/>
            <family val="2"/>
          </rPr>
          <t>BLS</t>
        </r>
      </text>
    </comment>
    <comment ref="I287" authorId="1" shapeId="0" xr:uid="{00000000-0006-0000-0000-00006E000000}">
      <text>
        <r>
          <rPr>
            <b/>
            <sz val="9"/>
            <color indexed="81"/>
            <rFont val="Tahoma"/>
            <family val="2"/>
          </rPr>
          <t>BLS</t>
        </r>
      </text>
    </comment>
    <comment ref="M287" authorId="1" shapeId="0" xr:uid="{00000000-0006-0000-0000-00006F000000}">
      <text>
        <r>
          <rPr>
            <b/>
            <sz val="9"/>
            <color indexed="81"/>
            <rFont val="Tahoma"/>
            <family val="2"/>
          </rPr>
          <t>HSC</t>
        </r>
      </text>
    </comment>
    <comment ref="I288" authorId="1" shapeId="0" xr:uid="{00000000-0006-0000-0000-000070000000}">
      <text>
        <r>
          <rPr>
            <b/>
            <sz val="9"/>
            <color indexed="81"/>
            <rFont val="Tahoma"/>
            <family val="2"/>
          </rPr>
          <t>KIS: 4,300,500,000
BLS: 1,434,000,000</t>
        </r>
      </text>
    </comment>
    <comment ref="M288" authorId="1" shapeId="0" xr:uid="{00000000-0006-0000-0000-000071000000}">
      <text>
        <r>
          <rPr>
            <b/>
            <sz val="9"/>
            <color indexed="81"/>
            <rFont val="Tahoma"/>
            <family val="2"/>
          </rPr>
          <t>HSC</t>
        </r>
      </text>
    </comment>
    <comment ref="M290" authorId="1" shapeId="0" xr:uid="{00000000-0006-0000-0000-000072000000}">
      <text>
        <r>
          <rPr>
            <b/>
            <sz val="9"/>
            <color indexed="81"/>
            <rFont val="Tahoma"/>
            <family val="2"/>
          </rPr>
          <t>HSC</t>
        </r>
      </text>
    </comment>
    <comment ref="AP294" authorId="1" shapeId="0" xr:uid="{00000000-0006-0000-0000-000073000000}">
      <text>
        <r>
          <rPr>
            <b/>
            <sz val="9"/>
            <color indexed="81"/>
            <rFont val="Tahoma"/>
            <family val="2"/>
          </rPr>
          <t>800k của 29.9.20</t>
        </r>
      </text>
    </comment>
    <comment ref="AP298" authorId="1" shapeId="0" xr:uid="{00000000-0006-0000-0000-000074000000}">
      <text>
        <r>
          <rPr>
            <b/>
            <sz val="9"/>
            <color indexed="81"/>
            <rFont val="Tahoma"/>
            <family val="2"/>
          </rPr>
          <t>Phí hoán đổi T09</t>
        </r>
      </text>
    </comment>
    <comment ref="I299" authorId="1" shapeId="0" xr:uid="{00000000-0006-0000-0000-000075000000}">
      <text>
        <r>
          <rPr>
            <b/>
            <sz val="9"/>
            <color indexed="81"/>
            <rFont val="Tahoma"/>
            <family val="2"/>
          </rPr>
          <t>NH + BLS</t>
        </r>
      </text>
    </comment>
    <comment ref="V299" authorId="1" shapeId="0" xr:uid="{00000000-0006-0000-0000-000076000000}">
      <text>
        <r>
          <rPr>
            <b/>
            <sz val="9"/>
            <color indexed="81"/>
            <rFont val="Tahoma"/>
            <family val="2"/>
          </rPr>
          <t>NH</t>
        </r>
      </text>
    </comment>
    <comment ref="AP299" authorId="1" shapeId="0" xr:uid="{00000000-0006-0000-0000-000077000000}">
      <text>
        <r>
          <rPr>
            <b/>
            <sz val="9"/>
            <color indexed="81"/>
            <rFont val="Tahoma"/>
            <family val="2"/>
          </rPr>
          <t>Phí bán hộ SSIAM VN30</t>
        </r>
      </text>
    </comment>
    <comment ref="I301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KIS</t>
        </r>
      </text>
    </comment>
    <comment ref="I302" authorId="1" shapeId="0" xr:uid="{00000000-0006-0000-0000-000079000000}">
      <text>
        <r>
          <rPr>
            <b/>
            <sz val="9"/>
            <color indexed="81"/>
            <rFont val="Tahoma"/>
            <family val="2"/>
          </rPr>
          <t>NH</t>
        </r>
      </text>
    </comment>
    <comment ref="M302" authorId="1" shapeId="0" xr:uid="{00000000-0006-0000-0000-00007A000000}">
      <text>
        <r>
          <rPr>
            <b/>
            <sz val="9"/>
            <color indexed="81"/>
            <rFont val="Tahoma"/>
            <family val="2"/>
          </rPr>
          <t>HSC</t>
        </r>
      </text>
    </comment>
    <comment ref="V302" authorId="1" shapeId="0" xr:uid="{00000000-0006-0000-0000-00007B000000}">
      <text>
        <r>
          <rPr>
            <b/>
            <sz val="9"/>
            <color indexed="81"/>
            <rFont val="Tahoma"/>
            <family val="2"/>
          </rPr>
          <t>NH</t>
        </r>
      </text>
    </comment>
    <comment ref="I303" authorId="1" shapeId="0" xr:uid="{00000000-0006-0000-0000-00007C000000}">
      <text>
        <r>
          <rPr>
            <b/>
            <sz val="9"/>
            <color indexed="81"/>
            <rFont val="Tahoma"/>
            <family val="2"/>
          </rPr>
          <t>KIS</t>
        </r>
      </text>
    </comment>
    <comment ref="I304" authorId="0" shapeId="0" xr:uid="{00000000-0006-0000-0000-00007D000000}">
      <text>
        <r>
          <rPr>
            <sz val="9"/>
            <color indexed="81"/>
            <rFont val="Tahoma"/>
            <family val="2"/>
          </rPr>
          <t xml:space="preserve">
KIS</t>
        </r>
      </text>
    </comment>
    <comment ref="I305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KIS</t>
        </r>
      </text>
    </comment>
    <comment ref="I307" authorId="1" shapeId="0" xr:uid="{00000000-0006-0000-0000-00007F000000}">
      <text>
        <r>
          <rPr>
            <b/>
            <sz val="9"/>
            <color indexed="81"/>
            <rFont val="Tahoma"/>
            <family val="2"/>
          </rPr>
          <t>NH</t>
        </r>
      </text>
    </comment>
    <comment ref="I309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KIS</t>
        </r>
      </text>
    </comment>
    <comment ref="AP309" authorId="1" shapeId="0" xr:uid="{00000000-0006-0000-0000-000081000000}">
      <text>
        <r>
          <rPr>
            <b/>
            <sz val="9"/>
            <color indexed="81"/>
            <rFont val="Tahoma"/>
            <family val="2"/>
          </rPr>
          <t>Phí bán hộ SSIAM VN30</t>
        </r>
      </text>
    </comment>
    <comment ref="I310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KIS: 6,191,500,000
NH: 472,013,400</t>
        </r>
      </text>
    </comment>
    <comment ref="I311" authorId="1" shapeId="0" xr:uid="{00000000-0006-0000-0000-000083000000}">
      <text>
        <r>
          <rPr>
            <b/>
            <sz val="9"/>
            <color indexed="81"/>
            <rFont val="Tahoma"/>
            <family val="2"/>
          </rPr>
          <t>BLS: 4,713,000,000
Còn lại KIS</t>
        </r>
      </text>
    </comment>
    <comment ref="I312" authorId="1" shapeId="0" xr:uid="{00000000-0006-0000-0000-000084000000}">
      <text>
        <r>
          <rPr>
            <b/>
            <sz val="9"/>
            <color indexed="81"/>
            <rFont val="Tahoma"/>
            <family val="2"/>
          </rPr>
          <t>KIS: 9,283,000,000
Còn lại NH</t>
        </r>
      </text>
    </comment>
    <comment ref="I313" authorId="1" shapeId="0" xr:uid="{00000000-0006-0000-0000-000085000000}">
      <text>
        <r>
          <rPr>
            <b/>
            <sz val="9"/>
            <color indexed="81"/>
            <rFont val="Tahoma"/>
            <family val="2"/>
          </rPr>
          <t>KIS: 15,233,000,000
Còn lại BLS</t>
        </r>
      </text>
    </comment>
    <comment ref="M313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HSC</t>
        </r>
      </text>
    </comment>
    <comment ref="I314" authorId="1" shapeId="0" xr:uid="{00000000-0006-0000-0000-000087000000}">
      <text>
        <r>
          <rPr>
            <b/>
            <sz val="9"/>
            <color indexed="81"/>
            <rFont val="Tahoma"/>
            <family val="2"/>
          </rPr>
          <t>KIS: 5,947,000,000
NH: 1,170,780,000</t>
        </r>
      </text>
    </comment>
    <comment ref="I315" authorId="1" shapeId="0" xr:uid="{00000000-0006-0000-0000-000088000000}">
      <text>
        <r>
          <rPr>
            <b/>
            <sz val="9"/>
            <color indexed="81"/>
            <rFont val="Tahoma"/>
            <family val="2"/>
          </rPr>
          <t>BLS</t>
        </r>
      </text>
    </comment>
    <comment ref="AP315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 xml:space="preserve">phí bán hộ+ QLTSKQ
</t>
        </r>
      </text>
    </comment>
    <comment ref="AN316" authorId="1" shapeId="0" xr:uid="{00000000-0006-0000-0000-00008A000000}">
      <text>
        <r>
          <rPr>
            <b/>
            <sz val="9"/>
            <color indexed="81"/>
            <rFont val="Tahoma"/>
            <family val="2"/>
          </rPr>
          <t xml:space="preserve">phí ngày 1.11 (chủ nhật)
</t>
        </r>
      </text>
    </comment>
    <comment ref="AP316" authorId="1" shapeId="0" xr:uid="{00000000-0006-0000-0000-00008B000000}">
      <text>
        <r>
          <rPr>
            <b/>
            <sz val="9"/>
            <color indexed="81"/>
            <rFont val="Tahoma"/>
            <family val="2"/>
          </rPr>
          <t>Phi mua/ban ho ngay 28,29,30/10</t>
        </r>
      </text>
    </comment>
    <comment ref="AP318" authorId="0" shapeId="0" xr:uid="{00000000-0006-0000-0000-00008C000000}">
      <text>
        <r>
          <rPr>
            <b/>
            <sz val="9"/>
            <color indexed="81"/>
            <rFont val="Tahoma"/>
            <family val="2"/>
          </rPr>
          <t>phí hoán đổi tháng 10</t>
        </r>
      </text>
    </comment>
    <comment ref="V319" authorId="1" shapeId="0" xr:uid="{00000000-0006-0000-0000-00008D000000}">
      <text>
        <r>
          <rPr>
            <b/>
            <sz val="9"/>
            <color indexed="81"/>
            <rFont val="Tahoma"/>
            <family val="2"/>
          </rPr>
          <t>NH</t>
        </r>
      </text>
    </comment>
    <comment ref="M321" authorId="1" shapeId="0" xr:uid="{00000000-0006-0000-0000-00008E000000}">
      <text>
        <r>
          <rPr>
            <b/>
            <sz val="9"/>
            <color indexed="81"/>
            <rFont val="Tahoma"/>
            <family val="2"/>
          </rPr>
          <t>HSC</t>
        </r>
      </text>
    </comment>
    <comment ref="I323" authorId="1" shapeId="0" xr:uid="{00000000-0006-0000-0000-00008F000000}">
      <text>
        <r>
          <rPr>
            <b/>
            <sz val="9"/>
            <color indexed="81"/>
            <rFont val="Tahoma"/>
            <family val="2"/>
          </rPr>
          <t>BLS</t>
        </r>
      </text>
    </comment>
    <comment ref="M326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HSC</t>
        </r>
      </text>
    </comment>
    <comment ref="I327" authorId="1" shapeId="0" xr:uid="{00000000-0006-0000-0000-000091000000}">
      <text>
        <r>
          <rPr>
            <b/>
            <sz val="9"/>
            <color indexed="81"/>
            <rFont val="Tahoma"/>
            <family val="2"/>
          </rPr>
          <t>BLS</t>
        </r>
      </text>
    </comment>
    <comment ref="H329" authorId="1" shapeId="0" xr:uid="{00000000-0006-0000-0000-000092000000}">
      <text>
        <r>
          <rPr>
            <b/>
            <sz val="9"/>
            <color indexed="81"/>
            <rFont val="Tahoma"/>
            <family val="2"/>
          </rPr>
          <t>BLS</t>
        </r>
      </text>
    </comment>
    <comment ref="I331" authorId="1" shapeId="0" xr:uid="{00000000-0006-0000-0000-000093000000}">
      <text>
        <r>
          <rPr>
            <b/>
            <sz val="9"/>
            <color indexed="81"/>
            <rFont val="Tahoma"/>
            <family val="2"/>
          </rPr>
          <t>KIS:6,389,000,000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Còn lại BLS</t>
        </r>
      </text>
    </comment>
    <comment ref="M331" authorId="1" shapeId="0" xr:uid="{00000000-0006-0000-0000-000094000000}">
      <text>
        <r>
          <rPr>
            <b/>
            <sz val="9"/>
            <color indexed="81"/>
            <rFont val="Tahoma"/>
            <family val="2"/>
          </rPr>
          <t>HSC</t>
        </r>
      </text>
    </comment>
    <comment ref="I332" authorId="1" shapeId="0" xr:uid="{00000000-0006-0000-0000-000095000000}">
      <text>
        <r>
          <rPr>
            <b/>
            <sz val="9"/>
            <color indexed="81"/>
            <rFont val="Tahoma"/>
            <family val="2"/>
          </rPr>
          <t>BLS</t>
        </r>
      </text>
    </comment>
    <comment ref="I333" authorId="1" shapeId="0" xr:uid="{00000000-0006-0000-0000-000096000000}">
      <text>
        <r>
          <rPr>
            <b/>
            <sz val="9"/>
            <color indexed="81"/>
            <rFont val="Tahoma"/>
            <family val="2"/>
          </rPr>
          <t>KIS: 11,274,000,000
Còn lại BLS</t>
        </r>
      </text>
    </comment>
    <comment ref="V333" authorId="1" shapeId="0" xr:uid="{00000000-0006-0000-0000-000097000000}">
      <text>
        <r>
          <rPr>
            <b/>
            <sz val="9"/>
            <color indexed="81"/>
            <rFont val="Tahoma"/>
            <family val="2"/>
          </rPr>
          <t>NH</t>
        </r>
      </text>
    </comment>
    <comment ref="I334" authorId="1" shapeId="0" xr:uid="{00000000-0006-0000-0000-000098000000}">
      <text>
        <r>
          <rPr>
            <b/>
            <sz val="9"/>
            <color indexed="81"/>
            <rFont val="Tahoma"/>
            <family val="2"/>
          </rPr>
          <t>KIS: 6,424,000,000
Con lai BLS</t>
        </r>
      </text>
    </comment>
    <comment ref="M334" authorId="1" shapeId="0" xr:uid="{00000000-0006-0000-0000-000099000000}">
      <text>
        <r>
          <rPr>
            <b/>
            <sz val="9"/>
            <color indexed="81"/>
            <rFont val="Tahoma"/>
            <family val="2"/>
          </rPr>
          <t>HSC</t>
        </r>
      </text>
    </comment>
    <comment ref="AP358" authorId="0" shapeId="0" xr:uid="{00000000-0006-0000-0000-00009A000000}">
      <text>
        <r>
          <rPr>
            <sz val="9"/>
            <color indexed="81"/>
            <rFont val="Tahoma"/>
            <family val="2"/>
          </rPr>
          <t xml:space="preserve">
Phí hoán đổi</t>
        </r>
      </text>
    </comment>
    <comment ref="AP378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Phi hoan doi</t>
        </r>
      </text>
    </comment>
    <comment ref="AP380" authorId="0" shapeId="0" xr:uid="{00000000-0006-0000-0000-00009C000000}">
      <text>
        <r>
          <rPr>
            <b/>
            <sz val="9"/>
            <color indexed="81"/>
            <rFont val="Tahoma"/>
            <family val="2"/>
          </rPr>
          <t>phí hoán đổi</t>
        </r>
      </text>
    </comment>
    <comment ref="AP394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Phí mua hộ + phí 1.6tr</t>
        </r>
      </text>
    </comment>
    <comment ref="AP395" authorId="0" shapeId="0" xr:uid="{00000000-0006-0000-0000-00009E000000}">
      <text>
        <r>
          <rPr>
            <b/>
            <sz val="9"/>
            <color indexed="81"/>
            <rFont val="Tahoma"/>
            <family val="2"/>
          </rPr>
          <t>phí mua bán hộ ngày 25,26/2</t>
        </r>
      </text>
    </comment>
    <comment ref="AP420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phí hoán đổi</t>
        </r>
      </text>
    </comment>
    <comment ref="AK432" authorId="0" shapeId="0" xr:uid="{00000000-0006-0000-0000-0000A0000000}">
      <text>
        <r>
          <rPr>
            <b/>
            <sz val="9"/>
            <color indexed="81"/>
            <rFont val="Tahoma"/>
            <family val="2"/>
          </rPr>
          <t xml:space="preserve">cộng thêm số lệch với kế toán
</t>
        </r>
      </text>
    </comment>
    <comment ref="AP433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Phí hoán đổi SSIAM VN100</t>
        </r>
      </text>
    </comment>
    <comment ref="AP437" authorId="0" shapeId="0" xr:uid="{00000000-0006-0000-0000-0000A2000000}">
      <text>
        <r>
          <rPr>
            <b/>
            <sz val="9"/>
            <color indexed="81"/>
            <rFont val="Tahoma"/>
            <family val="2"/>
          </rPr>
          <t>1.6tr phí QLTSKQ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P440" authorId="3" shapeId="0" xr:uid="{00000000-0006-0000-0000-0000A3000000}">
      <text>
        <r>
          <rPr>
            <b/>
            <sz val="9"/>
            <color indexed="81"/>
            <rFont val="Tahoma"/>
            <family val="2"/>
          </rPr>
          <t xml:space="preserve">cộng thêm 2tr3 tiền phí mua/bán hộ ngày 26/4 tới 29/4
</t>
        </r>
      </text>
    </comment>
    <comment ref="AP443" authorId="0" shapeId="0" xr:uid="{00000000-0006-0000-0000-0000A4000000}">
      <text>
        <r>
          <rPr>
            <b/>
            <sz val="9"/>
            <color indexed="81"/>
            <rFont val="Tahoma"/>
            <family val="2"/>
          </rPr>
          <t>phí hoán đổi t4</t>
        </r>
      </text>
    </comment>
    <comment ref="AP458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+700k + 700k phí mua hộ ngày  27 28/5</t>
        </r>
      </text>
    </comment>
    <comment ref="AP475" authorId="0" shapeId="0" xr:uid="{00000000-0006-0000-0000-0000A6000000}">
      <text>
        <r>
          <rPr>
            <b/>
            <sz val="9"/>
            <color indexed="81"/>
            <rFont val="Tahoma"/>
            <family val="2"/>
          </rPr>
          <t xml:space="preserve">phí hoán đổi
</t>
        </r>
      </text>
    </comment>
    <comment ref="AP476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phí quản lý tài sản</t>
        </r>
      </text>
    </comment>
    <comment ref="AK479" authorId="0" shapeId="0" xr:uid="{00000000-0006-0000-0000-0000A8000000}">
      <text>
        <r>
          <rPr>
            <b/>
            <sz val="9"/>
            <color indexed="81"/>
            <rFont val="Tahoma"/>
            <family val="2"/>
          </rPr>
          <t>35220 phí bên 03</t>
        </r>
      </text>
    </comment>
    <comment ref="AP496" authorId="3" shapeId="0" xr:uid="{00000000-0006-0000-0000-0000A9000000}">
      <text>
        <r>
          <rPr>
            <b/>
            <sz val="9"/>
            <color indexed="81"/>
            <rFont val="Tahoma"/>
            <family val="2"/>
          </rPr>
          <t>Le Thao Hien:</t>
        </r>
        <r>
          <rPr>
            <sz val="9"/>
            <color indexed="81"/>
            <rFont val="Tahoma"/>
            <family val="2"/>
          </rPr>
          <t xml:space="preserve">
phi hoan doi
</t>
        </r>
      </text>
    </comment>
    <comment ref="AP498" authorId="3" shapeId="0" xr:uid="{00000000-0006-0000-0000-0000AA000000}">
      <text>
        <r>
          <rPr>
            <b/>
            <sz val="9"/>
            <color indexed="81"/>
            <rFont val="Tahoma"/>
            <family val="2"/>
          </rPr>
          <t>Le Thao Hien:</t>
        </r>
        <r>
          <rPr>
            <sz val="9"/>
            <color indexed="81"/>
            <rFont val="Tahoma"/>
            <family val="2"/>
          </rPr>
          <t xml:space="preserve">
phi quan ly ts ky quy</t>
        </r>
      </text>
    </comment>
    <comment ref="AP516" authorId="4" shapeId="0" xr:uid="{00000000-0006-0000-0000-0000AB000000}">
      <text>
        <r>
          <rPr>
            <b/>
            <sz val="9"/>
            <color indexed="81"/>
            <rFont val="Tahoma"/>
            <family val="2"/>
          </rPr>
          <t>Le Thi Thao Hien:</t>
        </r>
        <r>
          <rPr>
            <sz val="9"/>
            <color indexed="81"/>
            <rFont val="Tahoma"/>
            <family val="2"/>
          </rPr>
          <t xml:space="preserve">
phi hoan doi thang 7</t>
        </r>
      </text>
    </comment>
    <comment ref="AP517" authorId="4" shapeId="0" xr:uid="{00000000-0006-0000-0000-0000AC000000}">
      <text>
        <r>
          <rPr>
            <b/>
            <sz val="9"/>
            <color indexed="81"/>
            <rFont val="Tahoma"/>
            <family val="2"/>
          </rPr>
          <t>Le Thi Thao Hien:</t>
        </r>
        <r>
          <rPr>
            <sz val="9"/>
            <color indexed="81"/>
            <rFont val="Tahoma"/>
            <family val="2"/>
          </rPr>
          <t xml:space="preserve">
phi quan ly TS ky quy
</t>
        </r>
      </text>
    </comment>
    <comment ref="AP520" authorId="4" shapeId="0" xr:uid="{00000000-0006-0000-0000-0000AD000000}">
      <text>
        <r>
          <rPr>
            <b/>
            <sz val="9"/>
            <color indexed="81"/>
            <rFont val="Tahoma"/>
            <family val="2"/>
          </rPr>
          <t>Le Thi Thao Hien:</t>
        </r>
        <r>
          <rPr>
            <sz val="9"/>
            <color indexed="81"/>
            <rFont val="Tahoma"/>
            <family val="2"/>
          </rPr>
          <t xml:space="preserve">
phi mua ho ssiam va vinacap</t>
        </r>
      </text>
    </comment>
    <comment ref="AP541" authorId="4" shapeId="0" xr:uid="{00000000-0006-0000-0000-0000AE000000}">
      <text>
        <r>
          <rPr>
            <b/>
            <sz val="9"/>
            <color indexed="81"/>
            <rFont val="Tahoma"/>
            <family val="2"/>
          </rPr>
          <t>phi mua ban ho, phi luu ky
và phí chuyển đổi</t>
        </r>
      </text>
    </comment>
    <comment ref="AP543" authorId="4" shapeId="0" xr:uid="{00000000-0006-0000-0000-0000AF000000}">
      <text>
        <r>
          <rPr>
            <b/>
            <sz val="9"/>
            <color indexed="81"/>
            <rFont val="Tahoma"/>
            <family val="2"/>
          </rPr>
          <t xml:space="preserve">phi QL TSKQ
</t>
        </r>
      </text>
    </comment>
    <comment ref="AP562" authorId="3" shapeId="0" xr:uid="{00000000-0006-0000-0000-0000B0000000}">
      <text>
        <r>
          <rPr>
            <b/>
            <sz val="9"/>
            <color indexed="81"/>
            <rFont val="Tahoma"/>
            <family val="2"/>
          </rPr>
          <t>Le Thao Hien:</t>
        </r>
        <r>
          <rPr>
            <sz val="9"/>
            <color indexed="81"/>
            <rFont val="Tahoma"/>
            <family val="2"/>
          </rPr>
          <t xml:space="preserve">
phí mua bán hộ và phí chuyển đổi
</t>
        </r>
      </text>
    </comment>
    <comment ref="AP563" authorId="3" shapeId="0" xr:uid="{00000000-0006-0000-0000-0000B1000000}">
      <text>
        <r>
          <rPr>
            <b/>
            <sz val="9"/>
            <color indexed="81"/>
            <rFont val="Tahoma"/>
            <family val="2"/>
          </rPr>
          <t>phi QLTSKQ</t>
        </r>
      </text>
    </comment>
    <comment ref="AP585" authorId="3" shapeId="0" xr:uid="{00000000-0006-0000-0000-0000B2000000}">
      <text>
        <r>
          <rPr>
            <b/>
            <sz val="9"/>
            <color indexed="81"/>
            <rFont val="Tahoma"/>
            <family val="2"/>
          </rPr>
          <t>Le Thao Hien:</t>
        </r>
        <r>
          <rPr>
            <sz val="9"/>
            <color indexed="81"/>
            <rFont val="Tahoma"/>
            <family val="2"/>
          </rPr>
          <t xml:space="preserve">
phí mua bán hộ và phí chuyển đổi</t>
        </r>
      </text>
    </comment>
    <comment ref="AP586" authorId="3" shapeId="0" xr:uid="{00000000-0006-0000-0000-0000B3000000}">
      <text>
        <r>
          <rPr>
            <b/>
            <sz val="9"/>
            <color indexed="81"/>
            <rFont val="Tahoma"/>
            <family val="2"/>
          </rPr>
          <t>Le Thao Hien:</t>
        </r>
        <r>
          <rPr>
            <sz val="9"/>
            <color indexed="81"/>
            <rFont val="Tahoma"/>
            <family val="2"/>
          </rPr>
          <t xml:space="preserve">
phí QLTSKQ</t>
        </r>
      </text>
    </comment>
    <comment ref="AP601" authorId="3" shapeId="0" xr:uid="{00000000-0006-0000-0000-0000B4000000}">
      <text>
        <r>
          <rPr>
            <b/>
            <sz val="9"/>
            <color indexed="81"/>
            <rFont val="Tahoma"/>
            <family val="2"/>
          </rPr>
          <t>Le Thao Hien:</t>
        </r>
        <r>
          <rPr>
            <sz val="9"/>
            <color indexed="81"/>
            <rFont val="Tahoma"/>
            <family val="2"/>
          </rPr>
          <t xml:space="preserve">
phí quản lý vị thế</t>
        </r>
      </text>
    </comment>
    <comment ref="AP606" authorId="3" shapeId="0" xr:uid="{00000000-0006-0000-0000-0000B5000000}">
      <text>
        <r>
          <rPr>
            <b/>
            <sz val="9"/>
            <color indexed="81"/>
            <rFont val="Tahoma"/>
            <family val="2"/>
          </rPr>
          <t>Le Thao Hien:</t>
        </r>
        <r>
          <rPr>
            <sz val="9"/>
            <color indexed="81"/>
            <rFont val="Tahoma"/>
            <family val="2"/>
          </rPr>
          <t xml:space="preserve">
phí VFM mua bán hộ</t>
        </r>
      </text>
    </comment>
    <comment ref="AP607" authorId="3" shapeId="0" xr:uid="{00000000-0006-0000-0000-0000B6000000}">
      <text>
        <r>
          <rPr>
            <b/>
            <sz val="9"/>
            <color indexed="81"/>
            <rFont val="Tahoma"/>
            <family val="2"/>
          </rPr>
          <t>Le Thao Hien:</t>
        </r>
        <r>
          <rPr>
            <sz val="9"/>
            <color indexed="81"/>
            <rFont val="Tahoma"/>
            <family val="2"/>
          </rPr>
          <t xml:space="preserve">
phí chuyển quyền sở hữu CK</t>
        </r>
      </text>
    </comment>
    <comment ref="AP610" authorId="3" shapeId="0" xr:uid="{00000000-0006-0000-0000-0000B7000000}">
      <text>
        <r>
          <rPr>
            <b/>
            <sz val="9"/>
            <color indexed="81"/>
            <rFont val="Tahoma"/>
            <family val="2"/>
          </rPr>
          <t>Le Thao Hien:</t>
        </r>
        <r>
          <rPr>
            <sz val="9"/>
            <color indexed="81"/>
            <rFont val="Tahoma"/>
            <family val="2"/>
          </rPr>
          <t xml:space="preserve">
phí VFM mua bán hộ</t>
        </r>
      </text>
    </comment>
    <comment ref="AP611" authorId="3" shapeId="0" xr:uid="{00000000-0006-0000-0000-0000B8000000}">
      <text>
        <r>
          <rPr>
            <b/>
            <sz val="9"/>
            <color indexed="81"/>
            <rFont val="Tahoma"/>
            <family val="2"/>
          </rPr>
          <t>Le Thao Hien:</t>
        </r>
        <r>
          <rPr>
            <sz val="9"/>
            <color indexed="81"/>
            <rFont val="Tahoma"/>
            <family val="2"/>
          </rPr>
          <t xml:space="preserve">
phí chuyển quyền sở hữu CK</t>
        </r>
      </text>
    </comment>
    <comment ref="AP628" authorId="3" shapeId="0" xr:uid="{00000000-0006-0000-0000-0000B9000000}">
      <text>
        <r>
          <rPr>
            <b/>
            <sz val="9"/>
            <color indexed="81"/>
            <rFont val="Tahoma"/>
            <family val="2"/>
          </rPr>
          <t>Le Thao Hien:</t>
        </r>
        <r>
          <rPr>
            <sz val="9"/>
            <color indexed="81"/>
            <rFont val="Tahoma"/>
            <family val="2"/>
          </rPr>
          <t xml:space="preserve">
phí quản lý TSKQ, phí mua bán hộ, phí chuyển quyền sở hữu</t>
        </r>
      </text>
    </comment>
    <comment ref="E630" authorId="3" shapeId="0" xr:uid="{00000000-0006-0000-0000-0000BA000000}">
      <text>
        <r>
          <rPr>
            <b/>
            <sz val="9"/>
            <color indexed="81"/>
            <rFont val="Tahoma"/>
            <family val="2"/>
          </rPr>
          <t>Le Thao Hien:</t>
        </r>
        <r>
          <rPr>
            <sz val="9"/>
            <color indexed="81"/>
            <rFont val="Tahoma"/>
            <family val="2"/>
          </rPr>
          <t xml:space="preserve">
ngày 11,14 tháng 1</t>
        </r>
      </text>
    </comment>
    <comment ref="AP639" authorId="3" shapeId="0" xr:uid="{00000000-0006-0000-0000-0000BB000000}">
      <text>
        <r>
          <rPr>
            <b/>
            <sz val="9"/>
            <color indexed="81"/>
            <rFont val="Tahoma"/>
            <family val="2"/>
          </rPr>
          <t>Le Thao Hien:</t>
        </r>
        <r>
          <rPr>
            <sz val="9"/>
            <color indexed="81"/>
            <rFont val="Tahoma"/>
            <family val="2"/>
          </rPr>
          <t xml:space="preserve">
phí QL TSKQ</t>
        </r>
      </text>
    </comment>
    <comment ref="AP640" authorId="3" shapeId="0" xr:uid="{00000000-0006-0000-0000-0000BC000000}">
      <text>
        <r>
          <rPr>
            <b/>
            <sz val="9"/>
            <color indexed="81"/>
            <rFont val="Tahoma"/>
            <family val="2"/>
          </rPr>
          <t>Le Thao Hien:</t>
        </r>
        <r>
          <rPr>
            <sz val="9"/>
            <color indexed="81"/>
            <rFont val="Tahoma"/>
            <family val="2"/>
          </rPr>
          <t xml:space="preserve">
phí VFM mua bán hộ</t>
        </r>
      </text>
    </comment>
    <comment ref="AP641" authorId="3" shapeId="0" xr:uid="{00000000-0006-0000-0000-0000BD000000}">
      <text>
        <r>
          <rPr>
            <b/>
            <sz val="9"/>
            <color indexed="81"/>
            <rFont val="Tahoma"/>
            <family val="2"/>
          </rPr>
          <t>Le Thao Hien:</t>
        </r>
        <r>
          <rPr>
            <sz val="9"/>
            <color indexed="81"/>
            <rFont val="Tahoma"/>
            <family val="2"/>
          </rPr>
          <t xml:space="preserve">
phí chuyển quyền sở hữu CK</t>
        </r>
      </text>
    </comment>
    <comment ref="AP642" authorId="3" shapeId="0" xr:uid="{00000000-0006-0000-0000-0000BE000000}">
      <text>
        <r>
          <rPr>
            <b/>
            <sz val="9"/>
            <color indexed="81"/>
            <rFont val="Tahoma"/>
            <family val="2"/>
          </rPr>
          <t>Le Thao Hien:</t>
        </r>
        <r>
          <rPr>
            <sz val="9"/>
            <color indexed="81"/>
            <rFont val="Tahoma"/>
            <family val="2"/>
          </rPr>
          <t xml:space="preserve">
phí mua bán hộ SSIAM</t>
        </r>
      </text>
    </comment>
    <comment ref="AP665" authorId="3" shapeId="0" xr:uid="{00000000-0006-0000-0000-0000BF000000}">
      <text>
        <r>
          <rPr>
            <b/>
            <sz val="9"/>
            <color indexed="81"/>
            <rFont val="Tahoma"/>
            <family val="2"/>
          </rPr>
          <t>Le Thao Hien:</t>
        </r>
        <r>
          <rPr>
            <sz val="9"/>
            <color indexed="81"/>
            <rFont val="Tahoma"/>
            <family val="2"/>
          </rPr>
          <t xml:space="preserve">
phí QL TSKQ</t>
        </r>
      </text>
    </comment>
    <comment ref="AP666" authorId="3" shapeId="0" xr:uid="{00000000-0006-0000-0000-0000C0000000}">
      <text>
        <r>
          <rPr>
            <b/>
            <sz val="9"/>
            <color indexed="81"/>
            <rFont val="Tahoma"/>
            <family val="2"/>
          </rPr>
          <t>Le Thao Hien:</t>
        </r>
        <r>
          <rPr>
            <sz val="9"/>
            <color indexed="81"/>
            <rFont val="Tahoma"/>
            <family val="2"/>
          </rPr>
          <t xml:space="preserve">
phí mua hộ VFM</t>
        </r>
      </text>
    </comment>
    <comment ref="AP667" authorId="3" shapeId="0" xr:uid="{00000000-0006-0000-0000-0000C1000000}">
      <text>
        <r>
          <rPr>
            <b/>
            <sz val="9"/>
            <color indexed="81"/>
            <rFont val="Tahoma"/>
            <family val="2"/>
          </rPr>
          <t>Le Thao Hien:</t>
        </r>
        <r>
          <rPr>
            <sz val="9"/>
            <color indexed="81"/>
            <rFont val="Tahoma"/>
            <family val="2"/>
          </rPr>
          <t xml:space="preserve">
phí chuyển quyền SHCK</t>
        </r>
      </text>
    </comment>
    <comment ref="AP683" authorId="3" shapeId="0" xr:uid="{00000000-0006-0000-0000-0000C2000000}">
      <text>
        <r>
          <rPr>
            <b/>
            <sz val="9"/>
            <color indexed="81"/>
            <rFont val="Tahoma"/>
            <family val="2"/>
          </rPr>
          <t>Le Thao Hien:</t>
        </r>
        <r>
          <rPr>
            <sz val="9"/>
            <color indexed="81"/>
            <rFont val="Tahoma"/>
            <family val="2"/>
          </rPr>
          <t xml:space="preserve">
phi QLTSKQ, VFM mua ban ho, phi chuyen quyen so huu CK</t>
        </r>
      </text>
    </comment>
    <comment ref="AP707" authorId="3" shapeId="0" xr:uid="{00000000-0006-0000-0000-0000C3000000}">
      <text>
        <r>
          <rPr>
            <b/>
            <sz val="9"/>
            <color indexed="81"/>
            <rFont val="Tahoma"/>
            <family val="2"/>
          </rPr>
          <t>Le Thao Hien:</t>
        </r>
        <r>
          <rPr>
            <sz val="9"/>
            <color indexed="81"/>
            <rFont val="Tahoma"/>
            <family val="2"/>
          </rPr>
          <t xml:space="preserve">
phi QLTSKQ, VFM mua ban ho, phi chuyen quyen so huu CK</t>
        </r>
      </text>
    </comment>
    <comment ref="AP727" authorId="3" shapeId="0" xr:uid="{00000000-0006-0000-0000-0000C4000000}">
      <text>
        <r>
          <rPr>
            <b/>
            <sz val="9"/>
            <color indexed="81"/>
            <rFont val="Tahoma"/>
            <family val="2"/>
          </rPr>
          <t>Le Thao Hien:</t>
        </r>
        <r>
          <rPr>
            <sz val="9"/>
            <color indexed="81"/>
            <rFont val="Tahoma"/>
            <family val="2"/>
          </rPr>
          <t xml:space="preserve">
phi QLTSKQ, phi VFM mua bán hộ, phí chuyển quyền SH CK
</t>
        </r>
      </text>
    </comment>
    <comment ref="AP746" authorId="3" shapeId="0" xr:uid="{00000000-0006-0000-0000-0000C5000000}">
      <text>
        <r>
          <rPr>
            <b/>
            <sz val="9"/>
            <color indexed="81"/>
            <rFont val="Tahoma"/>
            <family val="2"/>
          </rPr>
          <t>Le Thao Hien:</t>
        </r>
        <r>
          <rPr>
            <sz val="9"/>
            <color indexed="81"/>
            <rFont val="Tahoma"/>
            <family val="2"/>
          </rPr>
          <t xml:space="preserve">
Phi quản lý TSKQ, phí mua bán hộ VFM, phí chuyển quyền sở hữu CK</t>
        </r>
      </text>
    </comment>
    <comment ref="AP767" authorId="3" shapeId="0" xr:uid="{00000000-0006-0000-0000-0000C6000000}">
      <text>
        <r>
          <rPr>
            <b/>
            <sz val="9"/>
            <color indexed="81"/>
            <rFont val="Tahoma"/>
            <family val="2"/>
          </rPr>
          <t>Le Thao Hien:</t>
        </r>
        <r>
          <rPr>
            <sz val="9"/>
            <color indexed="81"/>
            <rFont val="Tahoma"/>
            <family val="2"/>
          </rPr>
          <t xml:space="preserve">
phi QL TSKQ, VFM mua ban ho, CQ SH CK</t>
        </r>
      </text>
    </comment>
    <comment ref="AP790" authorId="3" shapeId="0" xr:uid="{00000000-0006-0000-0000-0000C7000000}">
      <text>
        <r>
          <rPr>
            <b/>
            <sz val="9"/>
            <color indexed="81"/>
            <rFont val="Tahoma"/>
            <family val="2"/>
          </rPr>
          <t>Le Thao Hien:</t>
        </r>
        <r>
          <rPr>
            <sz val="9"/>
            <color indexed="81"/>
            <rFont val="Tahoma"/>
            <family val="2"/>
          </rPr>
          <t xml:space="preserve">
phi QL TSKQ, VFM mua ban ho, CQ SH CK</t>
        </r>
      </text>
    </comment>
    <comment ref="AP1145" authorId="5" shapeId="0" xr:uid="{FD58DDBC-B35C-4A45-970D-7E1D8245609A}">
      <text>
        <r>
          <rPr>
            <b/>
            <sz val="9"/>
            <color indexed="81"/>
            <rFont val="Tahoma"/>
            <family val="2"/>
          </rPr>
          <t>Nguyen Thanh Tuong Vi:</t>
        </r>
        <r>
          <rPr>
            <sz val="9"/>
            <color indexed="81"/>
            <rFont val="Tahoma"/>
            <family val="2"/>
          </rPr>
          <t xml:space="preserve">
Số này là số lệch với kế toán</t>
        </r>
      </text>
    </comment>
    <comment ref="AP1165" authorId="5" shapeId="0" xr:uid="{F9D934FC-EDDE-452E-8343-C6B485BB8889}">
      <text>
        <r>
          <rPr>
            <b/>
            <sz val="9"/>
            <color indexed="81"/>
            <rFont val="Tahoma"/>
            <family val="2"/>
          </rPr>
          <t>Nguyen Thanh Tuong Vi:</t>
        </r>
        <r>
          <rPr>
            <sz val="9"/>
            <color indexed="81"/>
            <rFont val="Tahoma"/>
            <family val="2"/>
          </rPr>
          <t xml:space="preserve">
Số này là số lệch với kế toán</t>
        </r>
      </text>
    </comment>
    <comment ref="AP1185" authorId="5" shapeId="0" xr:uid="{D6DCD9AD-AA40-428B-B308-432012E699AD}">
      <text>
        <r>
          <rPr>
            <b/>
            <sz val="9"/>
            <color indexed="81"/>
            <rFont val="Tahoma"/>
            <family val="2"/>
          </rPr>
          <t>Nguyen Thanh Tuong Vi:</t>
        </r>
        <r>
          <rPr>
            <sz val="9"/>
            <color indexed="81"/>
            <rFont val="Tahoma"/>
            <family val="2"/>
          </rPr>
          <t xml:space="preserve">
Này là số lệch với kế toán</t>
        </r>
      </text>
    </comment>
    <comment ref="AP1207" authorId="5" shapeId="0" xr:uid="{913E4D58-67D1-4779-AF68-576F9C25A9A3}">
      <text>
        <r>
          <rPr>
            <b/>
            <sz val="9"/>
            <color indexed="81"/>
            <rFont val="Tahoma"/>
            <family val="2"/>
          </rPr>
          <t>Nguyen Thanh Tuong Vi:</t>
        </r>
        <r>
          <rPr>
            <sz val="9"/>
            <color indexed="81"/>
            <rFont val="Tahoma"/>
            <family val="2"/>
          </rPr>
          <t xml:space="preserve">
Số này lệch với kế toán
ETF Component Fee
(30685000+48563580)
Không cộng ETF Comp Fee nữa vì đã book số kế toán</t>
        </r>
      </text>
    </comment>
    <comment ref="AP1227" authorId="5" shapeId="0" xr:uid="{D9914B5D-B9FB-445E-ABB1-B344FEC952C6}">
      <text>
        <r>
          <rPr>
            <b/>
            <sz val="9"/>
            <color indexed="81"/>
            <rFont val="Tahoma"/>
            <family val="2"/>
          </rPr>
          <t>Nguyen Than
h Tuong Vi:</t>
        </r>
        <r>
          <rPr>
            <sz val="9"/>
            <color indexed="81"/>
            <rFont val="Tahoma"/>
            <family val="2"/>
          </rPr>
          <t xml:space="preserve">
Số này là lệch với kế toán + ETF Component Fee (320000+36992595+8234015+15135000)
Không cộng ETF Component Fee nữa vì đã book số kế toán</t>
        </r>
      </text>
    </comment>
  </commentList>
</comments>
</file>

<file path=xl/sharedStrings.xml><?xml version="1.0" encoding="utf-8"?>
<sst xmlns="http://schemas.openxmlformats.org/spreadsheetml/2006/main" count="98" uniqueCount="73">
  <si>
    <t>AP basket</t>
  </si>
  <si>
    <t>ETF - LP</t>
  </si>
  <si>
    <t>Future</t>
  </si>
  <si>
    <t>Date</t>
  </si>
  <si>
    <t>Prop</t>
  </si>
  <si>
    <t>VFM</t>
  </si>
  <si>
    <t>Finlead</t>
  </si>
  <si>
    <t>VinaCap</t>
  </si>
  <si>
    <t>Trading value</t>
  </si>
  <si>
    <t>Exchange fee</t>
  </si>
  <si>
    <t>E1VFVN30</t>
  </si>
  <si>
    <t>FUESSV50</t>
  </si>
  <si>
    <t>FUEVFVND</t>
  </si>
  <si>
    <t>FUESSVSL</t>
  </si>
  <si>
    <t>FUEVN100</t>
  </si>
  <si>
    <t>Stock transfering fee</t>
  </si>
  <si>
    <t>contracts</t>
  </si>
  <si>
    <t>overnight fee</t>
  </si>
  <si>
    <t>SC bank+Component fee+Other Fee</t>
  </si>
  <si>
    <t>Market trading value</t>
  </si>
  <si>
    <t>Whole ETF trading value</t>
  </si>
  <si>
    <t>KIS ETF</t>
  </si>
  <si>
    <t>KIS ETF
included create/
redeem</t>
  </si>
  <si>
    <t>Daily fee</t>
  </si>
  <si>
    <t>Total Fee</t>
  </si>
  <si>
    <t>LP</t>
  </si>
  <si>
    <t>Block</t>
  </si>
  <si>
    <t>05/08/2019</t>
  </si>
  <si>
    <t>29/08/2019</t>
  </si>
  <si>
    <t>06/09/2019</t>
  </si>
  <si>
    <t>10/09/2019</t>
  </si>
  <si>
    <t>11/09/2019</t>
  </si>
  <si>
    <t>17/09/2019</t>
  </si>
  <si>
    <t>18/09/2019</t>
  </si>
  <si>
    <t>24/09/2019</t>
  </si>
  <si>
    <t>25/09/2019</t>
  </si>
  <si>
    <t>26/09/2019</t>
  </si>
  <si>
    <t>27/09/2019</t>
  </si>
  <si>
    <t>30/09/2019</t>
  </si>
  <si>
    <t>01/10/2019</t>
  </si>
  <si>
    <t>02/10/2019</t>
  </si>
  <si>
    <t>03/10/2019</t>
  </si>
  <si>
    <t>04/10/2019</t>
  </si>
  <si>
    <t>07/10/2019</t>
  </si>
  <si>
    <t>08/10/2019</t>
  </si>
  <si>
    <t>09/10/2019</t>
  </si>
  <si>
    <t>14/10/2019</t>
  </si>
  <si>
    <t>15/10/2019</t>
  </si>
  <si>
    <t>16/10/2019</t>
  </si>
  <si>
    <t>17/10/2019</t>
  </si>
  <si>
    <t>18/10/2019</t>
  </si>
  <si>
    <t>21/10/2019</t>
  </si>
  <si>
    <t>22/10/2019</t>
  </si>
  <si>
    <t>23/10/2019</t>
  </si>
  <si>
    <t>24/10/2019</t>
  </si>
  <si>
    <t>25/10/2019</t>
  </si>
  <si>
    <t>FUESSV30</t>
  </si>
  <si>
    <t>FUEKIV30</t>
  </si>
  <si>
    <t>4,719,000</t>
  </si>
  <si>
    <t>2,903,000</t>
  </si>
  <si>
    <t>948,733,000</t>
  </si>
  <si>
    <t>3,660,000</t>
  </si>
  <si>
    <t>23,399,360,000</t>
  </si>
  <si>
    <t>8,704,000</t>
  </si>
  <si>
    <t>251,656,000</t>
  </si>
  <si>
    <t>FUEDCMID</t>
  </si>
  <si>
    <t>FUEKIVFS</t>
  </si>
  <si>
    <t>Create/redeem trading - Prop</t>
  </si>
  <si>
    <t>Create/redeem trading - VFM</t>
  </si>
  <si>
    <t>Create/redeem trading - SSIAM</t>
  </si>
  <si>
    <t>Create/redeem trading - KIM</t>
  </si>
  <si>
    <t>Create/redeem trading - VinaCap/Mirea</t>
  </si>
  <si>
    <t>FUEMAVND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</si>
</sst>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00%"/>
    <numFmt numFmtId="167" formatCode="0.0%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5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5" tint="0.59999389629810485"/>
      <name val="Times New Roman"/>
      <family val="1"/>
    </font>
    <font>
      <sz val="11"/>
      <color rgb="FF00000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2CC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9" fillId="0" borderId="0">
      <alignment vertical="center"/>
    </xf>
    <xf numFmtId="164" fontId="1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80">
    <xf numFmtId="0" fontId="0" fillId="0" borderId="0" xfId="0"/>
    <xf numFmtId="0" fontId="2" fillId="0" borderId="0" xfId="0" applyFont="1"/>
    <xf numFmtId="165" fontId="2" fillId="2" borderId="0" xfId="1" applyNumberFormat="1" applyFont="1" applyFill="1"/>
    <xf numFmtId="165" fontId="2" fillId="6" borderId="0" xfId="1" applyNumberFormat="1" applyFont="1" applyFill="1"/>
    <xf numFmtId="0" fontId="4" fillId="0" borderId="0" xfId="0" applyFont="1"/>
    <xf numFmtId="14" fontId="6" fillId="0" borderId="14" xfId="0" applyNumberFormat="1" applyFont="1" applyBorder="1"/>
    <xf numFmtId="165" fontId="6" fillId="0" borderId="14" xfId="1" applyNumberFormat="1" applyFont="1" applyBorder="1"/>
    <xf numFmtId="165" fontId="6" fillId="2" borderId="14" xfId="1" applyNumberFormat="1" applyFont="1" applyFill="1" applyBorder="1"/>
    <xf numFmtId="165" fontId="6" fillId="3" borderId="14" xfId="1" applyNumberFormat="1" applyFont="1" applyFill="1" applyBorder="1"/>
    <xf numFmtId="165" fontId="6" fillId="4" borderId="14" xfId="1" applyNumberFormat="1" applyFont="1" applyFill="1" applyBorder="1"/>
    <xf numFmtId="14" fontId="6" fillId="5" borderId="14" xfId="0" applyNumberFormat="1" applyFont="1" applyFill="1" applyBorder="1"/>
    <xf numFmtId="165" fontId="6" fillId="5" borderId="14" xfId="1" applyNumberFormat="1" applyFont="1" applyFill="1" applyBorder="1"/>
    <xf numFmtId="165" fontId="6" fillId="0" borderId="15" xfId="1" applyNumberFormat="1" applyFont="1" applyBorder="1"/>
    <xf numFmtId="14" fontId="6" fillId="5" borderId="14" xfId="0" applyNumberFormat="1" applyFont="1" applyFill="1" applyBorder="1" applyAlignment="1">
      <alignment horizontal="right"/>
    </xf>
    <xf numFmtId="165" fontId="6" fillId="5" borderId="14" xfId="1" applyNumberFormat="1" applyFont="1" applyFill="1" applyBorder="1" applyAlignment="1">
      <alignment horizontal="right"/>
    </xf>
    <xf numFmtId="14" fontId="6" fillId="0" borderId="14" xfId="0" applyNumberFormat="1" applyFont="1" applyBorder="1" applyAlignment="1">
      <alignment horizontal="right"/>
    </xf>
    <xf numFmtId="165" fontId="6" fillId="0" borderId="14" xfId="1" applyNumberFormat="1" applyFont="1" applyBorder="1" applyAlignment="1">
      <alignment horizontal="right"/>
    </xf>
    <xf numFmtId="165" fontId="7" fillId="3" borderId="14" xfId="1" applyNumberFormat="1" applyFont="1" applyFill="1" applyBorder="1" applyAlignment="1">
      <alignment vertical="center"/>
    </xf>
    <xf numFmtId="14" fontId="6" fillId="7" borderId="14" xfId="0" applyNumberFormat="1" applyFont="1" applyFill="1" applyBorder="1" applyAlignment="1">
      <alignment horizontal="right"/>
    </xf>
    <xf numFmtId="165" fontId="6" fillId="7" borderId="14" xfId="1" applyNumberFormat="1" applyFont="1" applyFill="1" applyBorder="1" applyAlignment="1">
      <alignment horizontal="right"/>
    </xf>
    <xf numFmtId="165" fontId="6" fillId="7" borderId="14" xfId="1" applyNumberFormat="1" applyFont="1" applyFill="1" applyBorder="1"/>
    <xf numFmtId="165" fontId="8" fillId="3" borderId="14" xfId="1" applyNumberFormat="1" applyFont="1" applyFill="1" applyBorder="1"/>
    <xf numFmtId="165" fontId="8" fillId="4" borderId="14" xfId="1" applyNumberFormat="1" applyFont="1" applyFill="1" applyBorder="1"/>
    <xf numFmtId="14" fontId="6" fillId="0" borderId="10" xfId="0" applyNumberFormat="1" applyFont="1" applyBorder="1"/>
    <xf numFmtId="165" fontId="6" fillId="0" borderId="10" xfId="1" applyNumberFormat="1" applyFont="1" applyBorder="1"/>
    <xf numFmtId="165" fontId="6" fillId="3" borderId="10" xfId="1" applyNumberFormat="1" applyFont="1" applyFill="1" applyBorder="1"/>
    <xf numFmtId="165" fontId="6" fillId="4" borderId="10" xfId="1" applyNumberFormat="1" applyFont="1" applyFill="1" applyBorder="1"/>
    <xf numFmtId="165" fontId="6" fillId="5" borderId="10" xfId="1" applyNumberFormat="1" applyFont="1" applyFill="1" applyBorder="1"/>
    <xf numFmtId="14" fontId="2" fillId="0" borderId="14" xfId="0" applyNumberFormat="1" applyFont="1" applyBorder="1"/>
    <xf numFmtId="165" fontId="2" fillId="2" borderId="14" xfId="1" applyNumberFormat="1" applyFont="1" applyFill="1" applyBorder="1"/>
    <xf numFmtId="165" fontId="2" fillId="2" borderId="10" xfId="1" applyNumberFormat="1" applyFont="1" applyFill="1" applyBorder="1"/>
    <xf numFmtId="165" fontId="2" fillId="3" borderId="14" xfId="1" applyNumberFormat="1" applyFont="1" applyFill="1" applyBorder="1"/>
    <xf numFmtId="165" fontId="2" fillId="3" borderId="10" xfId="1" applyNumberFormat="1" applyFont="1" applyFill="1" applyBorder="1"/>
    <xf numFmtId="165" fontId="2" fillId="4" borderId="14" xfId="1" applyNumberFormat="1" applyFont="1" applyFill="1" applyBorder="1"/>
    <xf numFmtId="165" fontId="2" fillId="5" borderId="14" xfId="1" applyNumberFormat="1" applyFont="1" applyFill="1" applyBorder="1"/>
    <xf numFmtId="14" fontId="2" fillId="0" borderId="5" xfId="0" applyNumberFormat="1" applyFont="1" applyBorder="1"/>
    <xf numFmtId="165" fontId="2" fillId="2" borderId="5" xfId="1" applyNumberFormat="1" applyFont="1" applyFill="1" applyBorder="1"/>
    <xf numFmtId="165" fontId="2" fillId="3" borderId="5" xfId="1" applyNumberFormat="1" applyFont="1" applyFill="1" applyBorder="1"/>
    <xf numFmtId="165" fontId="2" fillId="4" borderId="5" xfId="1" applyNumberFormat="1" applyFont="1" applyFill="1" applyBorder="1"/>
    <xf numFmtId="165" fontId="2" fillId="5" borderId="5" xfId="1" applyNumberFormat="1" applyFont="1" applyFill="1" applyBorder="1"/>
    <xf numFmtId="165" fontId="2" fillId="3" borderId="0" xfId="1" applyNumberFormat="1" applyFont="1" applyFill="1"/>
    <xf numFmtId="14" fontId="2" fillId="0" borderId="10" xfId="0" applyNumberFormat="1" applyFont="1" applyBorder="1"/>
    <xf numFmtId="165" fontId="2" fillId="5" borderId="10" xfId="1" applyNumberFormat="1" applyFont="1" applyFill="1" applyBorder="1"/>
    <xf numFmtId="165" fontId="4" fillId="0" borderId="0" xfId="0" applyNumberFormat="1" applyFont="1"/>
    <xf numFmtId="165" fontId="2" fillId="2" borderId="16" xfId="1" applyNumberFormat="1" applyFont="1" applyFill="1" applyBorder="1"/>
    <xf numFmtId="165" fontId="2" fillId="3" borderId="16" xfId="1" applyNumberFormat="1" applyFont="1" applyFill="1" applyBorder="1"/>
    <xf numFmtId="165" fontId="2" fillId="4" borderId="10" xfId="1" applyNumberFormat="1" applyFont="1" applyFill="1" applyBorder="1"/>
    <xf numFmtId="14" fontId="2" fillId="0" borderId="10" xfId="2" applyNumberFormat="1" applyFont="1" applyBorder="1" applyAlignment="1"/>
    <xf numFmtId="14" fontId="2" fillId="0" borderId="5" xfId="2" applyNumberFormat="1" applyFont="1" applyBorder="1" applyAlignment="1"/>
    <xf numFmtId="14" fontId="2" fillId="0" borderId="14" xfId="2" applyNumberFormat="1" applyFont="1" applyBorder="1" applyAlignment="1"/>
    <xf numFmtId="14" fontId="2" fillId="0" borderId="1" xfId="0" applyNumberFormat="1" applyFont="1" applyBorder="1"/>
    <xf numFmtId="165" fontId="2" fillId="2" borderId="1" xfId="1" applyNumberFormat="1" applyFont="1" applyFill="1" applyBorder="1"/>
    <xf numFmtId="165" fontId="2" fillId="3" borderId="1" xfId="1" applyNumberFormat="1" applyFont="1" applyFill="1" applyBorder="1"/>
    <xf numFmtId="165" fontId="2" fillId="4" borderId="1" xfId="1" applyNumberFormat="1" applyFont="1" applyFill="1" applyBorder="1"/>
    <xf numFmtId="165" fontId="2" fillId="5" borderId="1" xfId="1" applyNumberFormat="1" applyFont="1" applyFill="1" applyBorder="1"/>
    <xf numFmtId="165" fontId="4" fillId="0" borderId="0" xfId="1" applyNumberFormat="1" applyFont="1"/>
    <xf numFmtId="165" fontId="2" fillId="2" borderId="14" xfId="1" applyNumberFormat="1" applyFont="1" applyFill="1" applyBorder="1" applyAlignment="1"/>
    <xf numFmtId="165" fontId="2" fillId="3" borderId="14" xfId="1" applyNumberFormat="1" applyFont="1" applyFill="1" applyBorder="1" applyAlignment="1"/>
    <xf numFmtId="165" fontId="2" fillId="3" borderId="10" xfId="1" applyNumberFormat="1" applyFont="1" applyFill="1" applyBorder="1" applyAlignment="1"/>
    <xf numFmtId="165" fontId="2" fillId="4" borderId="14" xfId="1" applyNumberFormat="1" applyFont="1" applyFill="1" applyBorder="1" applyAlignment="1"/>
    <xf numFmtId="165" fontId="2" fillId="5" borderId="14" xfId="1" applyNumberFormat="1" applyFont="1" applyFill="1" applyBorder="1" applyAlignment="1"/>
    <xf numFmtId="165" fontId="2" fillId="2" borderId="5" xfId="1" applyNumberFormat="1" applyFont="1" applyFill="1" applyBorder="1" applyAlignment="1"/>
    <xf numFmtId="165" fontId="2" fillId="3" borderId="5" xfId="1" applyNumberFormat="1" applyFont="1" applyFill="1" applyBorder="1" applyAlignment="1"/>
    <xf numFmtId="165" fontId="2" fillId="4" borderId="5" xfId="1" applyNumberFormat="1" applyFont="1" applyFill="1" applyBorder="1" applyAlignment="1"/>
    <xf numFmtId="165" fontId="2" fillId="5" borderId="5" xfId="1" applyNumberFormat="1" applyFont="1" applyFill="1" applyBorder="1" applyAlignment="1"/>
    <xf numFmtId="165" fontId="2" fillId="2" borderId="10" xfId="1" applyNumberFormat="1" applyFont="1" applyFill="1" applyBorder="1" applyAlignment="1"/>
    <xf numFmtId="165" fontId="2" fillId="4" borderId="10" xfId="1" applyNumberFormat="1" applyFont="1" applyFill="1" applyBorder="1" applyAlignment="1"/>
    <xf numFmtId="14" fontId="2" fillId="7" borderId="14" xfId="0" applyNumberFormat="1" applyFont="1" applyFill="1" applyBorder="1"/>
    <xf numFmtId="165" fontId="2" fillId="7" borderId="14" xfId="1" applyNumberFormat="1" applyFont="1" applyFill="1" applyBorder="1" applyAlignment="1"/>
    <xf numFmtId="165" fontId="2" fillId="7" borderId="10" xfId="1" applyNumberFormat="1" applyFont="1" applyFill="1" applyBorder="1" applyAlignment="1"/>
    <xf numFmtId="165" fontId="2" fillId="7" borderId="14" xfId="1" applyNumberFormat="1" applyFont="1" applyFill="1" applyBorder="1"/>
    <xf numFmtId="0" fontId="4" fillId="7" borderId="0" xfId="0" applyFont="1" applyFill="1"/>
    <xf numFmtId="14" fontId="2" fillId="0" borderId="17" xfId="0" applyNumberFormat="1" applyFont="1" applyBorder="1"/>
    <xf numFmtId="43" fontId="4" fillId="0" borderId="0" xfId="0" applyNumberFormat="1" applyFont="1"/>
    <xf numFmtId="10" fontId="4" fillId="0" borderId="0" xfId="9" applyNumberFormat="1" applyFont="1"/>
    <xf numFmtId="166" fontId="4" fillId="0" borderId="0" xfId="9" applyNumberFormat="1" applyFont="1"/>
    <xf numFmtId="9" fontId="4" fillId="0" borderId="0" xfId="0" applyNumberFormat="1" applyFont="1"/>
    <xf numFmtId="14" fontId="2" fillId="0" borderId="1" xfId="2" applyNumberFormat="1" applyFont="1" applyBorder="1" applyAlignment="1"/>
    <xf numFmtId="14" fontId="2" fillId="8" borderId="14" xfId="0" applyNumberFormat="1" applyFont="1" applyFill="1" applyBorder="1"/>
    <xf numFmtId="167" fontId="4" fillId="0" borderId="0" xfId="9" applyNumberFormat="1" applyFont="1"/>
    <xf numFmtId="14" fontId="2" fillId="9" borderId="14" xfId="0" applyNumberFormat="1" applyFont="1" applyFill="1" applyBorder="1"/>
    <xf numFmtId="0" fontId="2" fillId="10" borderId="0" xfId="0" applyFont="1" applyFill="1"/>
    <xf numFmtId="165" fontId="13" fillId="11" borderId="14" xfId="1" applyNumberFormat="1" applyFont="1" applyFill="1" applyBorder="1" applyAlignment="1"/>
    <xf numFmtId="165" fontId="13" fillId="11" borderId="10" xfId="1" applyNumberFormat="1" applyFont="1" applyFill="1" applyBorder="1" applyAlignment="1"/>
    <xf numFmtId="165" fontId="13" fillId="12" borderId="10" xfId="1" applyNumberFormat="1" applyFont="1" applyFill="1" applyBorder="1" applyAlignment="1"/>
    <xf numFmtId="165" fontId="13" fillId="12" borderId="1" xfId="1" applyNumberFormat="1" applyFont="1" applyFill="1" applyBorder="1" applyAlignment="1"/>
    <xf numFmtId="165" fontId="13" fillId="13" borderId="10" xfId="1" applyNumberFormat="1" applyFont="1" applyFill="1" applyBorder="1" applyAlignment="1"/>
    <xf numFmtId="165" fontId="13" fillId="14" borderId="10" xfId="1" applyNumberFormat="1" applyFont="1" applyFill="1" applyBorder="1" applyAlignment="1"/>
    <xf numFmtId="165" fontId="13" fillId="14" borderId="10" xfId="1" applyNumberFormat="1" applyFont="1" applyFill="1" applyBorder="1"/>
    <xf numFmtId="165" fontId="13" fillId="14" borderId="1" xfId="1" applyNumberFormat="1" applyFont="1" applyFill="1" applyBorder="1" applyAlignment="1"/>
    <xf numFmtId="165" fontId="13" fillId="13" borderId="14" xfId="1" applyNumberFormat="1" applyFont="1" applyFill="1" applyBorder="1" applyAlignment="1"/>
    <xf numFmtId="165" fontId="13" fillId="15" borderId="10" xfId="1" applyNumberFormat="1" applyFont="1" applyFill="1" applyBorder="1" applyAlignment="1"/>
    <xf numFmtId="14" fontId="4" fillId="0" borderId="0" xfId="0" applyNumberFormat="1" applyFont="1"/>
    <xf numFmtId="14" fontId="2" fillId="4" borderId="0" xfId="0" applyNumberFormat="1" applyFont="1" applyFill="1"/>
    <xf numFmtId="14" fontId="2" fillId="0" borderId="0" xfId="0" applyNumberFormat="1" applyFont="1"/>
    <xf numFmtId="14" fontId="13" fillId="0" borderId="14" xfId="0" applyNumberFormat="1" applyFont="1" applyBorder="1"/>
    <xf numFmtId="165" fontId="2" fillId="4" borderId="0" xfId="1" applyNumberFormat="1" applyFont="1" applyFill="1"/>
    <xf numFmtId="165" fontId="2" fillId="6" borderId="0" xfId="1" applyNumberFormat="1" applyFont="1" applyFill="1" applyAlignment="1"/>
    <xf numFmtId="165" fontId="2" fillId="10" borderId="0" xfId="1" applyNumberFormat="1" applyFont="1" applyFill="1"/>
    <xf numFmtId="165" fontId="6" fillId="0" borderId="0" xfId="1" applyNumberFormat="1" applyFont="1"/>
    <xf numFmtId="165" fontId="2" fillId="6" borderId="14" xfId="1" applyNumberFormat="1" applyFont="1" applyFill="1" applyBorder="1" applyAlignment="1"/>
    <xf numFmtId="165" fontId="2" fillId="6" borderId="1" xfId="1" applyNumberFormat="1" applyFont="1" applyFill="1" applyBorder="1" applyAlignment="1"/>
    <xf numFmtId="165" fontId="2" fillId="6" borderId="10" xfId="1" applyNumberFormat="1" applyFont="1" applyFill="1" applyBorder="1" applyAlignment="1"/>
    <xf numFmtId="165" fontId="2" fillId="6" borderId="15" xfId="1" applyNumberFormat="1" applyFont="1" applyFill="1" applyBorder="1" applyAlignment="1"/>
    <xf numFmtId="165" fontId="2" fillId="6" borderId="18" xfId="1" applyNumberFormat="1" applyFont="1" applyFill="1" applyBorder="1" applyAlignment="1"/>
    <xf numFmtId="165" fontId="2" fillId="6" borderId="21" xfId="1" applyNumberFormat="1" applyFont="1" applyFill="1" applyBorder="1" applyAlignment="1"/>
    <xf numFmtId="165" fontId="2" fillId="9" borderId="10" xfId="1" applyNumberFormat="1" applyFont="1" applyFill="1" applyBorder="1" applyAlignment="1"/>
    <xf numFmtId="165" fontId="2" fillId="9" borderId="18" xfId="1" applyNumberFormat="1" applyFont="1" applyFill="1" applyBorder="1" applyAlignment="1"/>
    <xf numFmtId="165" fontId="2" fillId="2" borderId="0" xfId="1" applyNumberFormat="1" applyFont="1" applyFill="1" applyAlignment="1"/>
    <xf numFmtId="165" fontId="2" fillId="0" borderId="0" xfId="1" applyNumberFormat="1" applyFont="1"/>
    <xf numFmtId="165" fontId="2" fillId="5" borderId="0" xfId="1" applyNumberFormat="1" applyFont="1" applyFill="1"/>
    <xf numFmtId="165" fontId="5" fillId="3" borderId="8" xfId="1" applyNumberFormat="1" applyFont="1" applyFill="1" applyBorder="1" applyAlignment="1">
      <alignment vertical="center"/>
    </xf>
    <xf numFmtId="165" fontId="5" fillId="3" borderId="16" xfId="1" applyNumberFormat="1" applyFont="1" applyFill="1" applyBorder="1" applyAlignment="1">
      <alignment vertical="center"/>
    </xf>
    <xf numFmtId="165" fontId="5" fillId="3" borderId="11" xfId="1" applyNumberFormat="1" applyFont="1" applyFill="1" applyBorder="1" applyAlignment="1">
      <alignment horizontal="center" vertical="center" wrapText="1"/>
    </xf>
    <xf numFmtId="165" fontId="0" fillId="0" borderId="12" xfId="1" applyNumberFormat="1" applyFont="1" applyBorder="1"/>
    <xf numFmtId="165" fontId="6" fillId="7" borderId="0" xfId="1" applyNumberFormat="1" applyFont="1" applyFill="1"/>
    <xf numFmtId="165" fontId="2" fillId="5" borderId="10" xfId="1" applyNumberFormat="1" applyFont="1" applyFill="1" applyBorder="1" applyAlignment="1"/>
    <xf numFmtId="165" fontId="2" fillId="3" borderId="0" xfId="1" applyNumberFormat="1" applyFont="1" applyFill="1" applyAlignment="1"/>
    <xf numFmtId="165" fontId="2" fillId="2" borderId="1" xfId="1" applyNumberFormat="1" applyFont="1" applyFill="1" applyBorder="1" applyAlignment="1"/>
    <xf numFmtId="165" fontId="2" fillId="2" borderId="17" xfId="1" applyNumberFormat="1" applyFont="1" applyFill="1" applyBorder="1"/>
    <xf numFmtId="165" fontId="2" fillId="2" borderId="17" xfId="1" applyNumberFormat="1" applyFont="1" applyFill="1" applyBorder="1" applyAlignment="1"/>
    <xf numFmtId="165" fontId="2" fillId="3" borderId="1" xfId="1" applyNumberFormat="1" applyFont="1" applyFill="1" applyBorder="1" applyAlignment="1"/>
    <xf numFmtId="165" fontId="2" fillId="3" borderId="17" xfId="1" applyNumberFormat="1" applyFont="1" applyFill="1" applyBorder="1" applyAlignment="1"/>
    <xf numFmtId="165" fontId="2" fillId="3" borderId="17" xfId="1" applyNumberFormat="1" applyFont="1" applyFill="1" applyBorder="1"/>
    <xf numFmtId="165" fontId="2" fillId="4" borderId="1" xfId="1" applyNumberFormat="1" applyFont="1" applyFill="1" applyBorder="1" applyAlignment="1"/>
    <xf numFmtId="165" fontId="2" fillId="5" borderId="1" xfId="1" applyNumberFormat="1" applyFont="1" applyFill="1" applyBorder="1" applyAlignment="1"/>
    <xf numFmtId="165" fontId="2" fillId="5" borderId="17" xfId="1" applyNumberFormat="1" applyFont="1" applyFill="1" applyBorder="1" applyAlignment="1"/>
    <xf numFmtId="165" fontId="2" fillId="5" borderId="17" xfId="1" applyNumberFormat="1" applyFont="1" applyFill="1" applyBorder="1"/>
    <xf numFmtId="165" fontId="5" fillId="2" borderId="14" xfId="1" applyNumberFormat="1" applyFont="1" applyFill="1" applyBorder="1" applyAlignment="1"/>
    <xf numFmtId="165" fontId="2" fillId="3" borderId="18" xfId="1" applyNumberFormat="1" applyFont="1" applyFill="1" applyBorder="1" applyAlignment="1"/>
    <xf numFmtId="165" fontId="2" fillId="3" borderId="19" xfId="1" applyNumberFormat="1" applyFont="1" applyFill="1" applyBorder="1" applyAlignment="1"/>
    <xf numFmtId="165" fontId="2" fillId="3" borderId="15" xfId="1" applyNumberFormat="1" applyFont="1" applyFill="1" applyBorder="1" applyAlignment="1"/>
    <xf numFmtId="165" fontId="2" fillId="3" borderId="20" xfId="1" applyNumberFormat="1" applyFont="1" applyFill="1" applyBorder="1" applyAlignment="1"/>
    <xf numFmtId="165" fontId="2" fillId="3" borderId="21" xfId="1" applyNumberFormat="1" applyFont="1" applyFill="1" applyBorder="1" applyAlignment="1"/>
    <xf numFmtId="165" fontId="2" fillId="3" borderId="2" xfId="1" applyNumberFormat="1" applyFont="1" applyFill="1" applyBorder="1" applyAlignment="1"/>
    <xf numFmtId="165" fontId="2" fillId="4" borderId="0" xfId="1" applyNumberFormat="1" applyFont="1" applyFill="1" applyAlignment="1"/>
    <xf numFmtId="165" fontId="9" fillId="0" borderId="0" xfId="1" applyNumberFormat="1" applyFont="1" applyAlignment="1">
      <alignment vertical="center"/>
    </xf>
    <xf numFmtId="165" fontId="2" fillId="8" borderId="14" xfId="1" applyNumberFormat="1" applyFont="1" applyFill="1" applyBorder="1" applyAlignment="1"/>
    <xf numFmtId="165" fontId="2" fillId="8" borderId="10" xfId="1" applyNumberFormat="1" applyFont="1" applyFill="1" applyBorder="1" applyAlignment="1"/>
    <xf numFmtId="165" fontId="2" fillId="8" borderId="1" xfId="1" applyNumberFormat="1" applyFont="1" applyFill="1" applyBorder="1" applyAlignment="1"/>
    <xf numFmtId="165" fontId="2" fillId="8" borderId="1" xfId="1" applyNumberFormat="1" applyFont="1" applyFill="1" applyBorder="1"/>
    <xf numFmtId="165" fontId="12" fillId="2" borderId="10" xfId="1" applyNumberFormat="1" applyFont="1" applyFill="1" applyBorder="1"/>
    <xf numFmtId="165" fontId="2" fillId="9" borderId="14" xfId="1" applyNumberFormat="1" applyFont="1" applyFill="1" applyBorder="1" applyAlignment="1"/>
    <xf numFmtId="165" fontId="12" fillId="9" borderId="10" xfId="1" applyNumberFormat="1" applyFont="1" applyFill="1" applyBorder="1"/>
    <xf numFmtId="165" fontId="2" fillId="9" borderId="17" xfId="1" applyNumberFormat="1" applyFont="1" applyFill="1" applyBorder="1" applyAlignment="1"/>
    <xf numFmtId="165" fontId="2" fillId="9" borderId="1" xfId="1" applyNumberFormat="1" applyFont="1" applyFill="1" applyBorder="1" applyAlignment="1"/>
    <xf numFmtId="165" fontId="2" fillId="9" borderId="1" xfId="1" applyNumberFormat="1" applyFont="1" applyFill="1" applyBorder="1"/>
    <xf numFmtId="165" fontId="2" fillId="9" borderId="10" xfId="1" applyNumberFormat="1" applyFont="1" applyFill="1" applyBorder="1"/>
    <xf numFmtId="165" fontId="2" fillId="9" borderId="0" xfId="1" applyNumberFormat="1" applyFont="1" applyFill="1" applyAlignment="1"/>
    <xf numFmtId="165" fontId="2" fillId="9" borderId="14" xfId="1" applyNumberFormat="1" applyFont="1" applyFill="1" applyBorder="1"/>
    <xf numFmtId="165" fontId="2" fillId="3" borderId="14" xfId="1" applyNumberFormat="1" applyFont="1" applyFill="1" applyBorder="1" applyAlignment="1">
      <alignment horizontal="right"/>
    </xf>
    <xf numFmtId="165" fontId="2" fillId="3" borderId="1" xfId="1" applyNumberFormat="1" applyFont="1" applyFill="1" applyBorder="1" applyAlignment="1">
      <alignment horizontal="right"/>
    </xf>
    <xf numFmtId="165" fontId="2" fillId="3" borderId="10" xfId="1" applyNumberFormat="1" applyFont="1" applyFill="1" applyBorder="1" applyAlignment="1">
      <alignment horizontal="right"/>
    </xf>
    <xf numFmtId="165" fontId="13" fillId="12" borderId="17" xfId="1" applyNumberFormat="1" applyFont="1" applyFill="1" applyBorder="1" applyAlignment="1"/>
    <xf numFmtId="165" fontId="13" fillId="14" borderId="1" xfId="1" applyNumberFormat="1" applyFont="1" applyFill="1" applyBorder="1"/>
    <xf numFmtId="14" fontId="4" fillId="7" borderId="0" xfId="0" applyNumberFormat="1" applyFont="1" applyFill="1"/>
    <xf numFmtId="165" fontId="4" fillId="7" borderId="0" xfId="1" applyNumberFormat="1" applyFont="1" applyFill="1"/>
    <xf numFmtId="165" fontId="5" fillId="4" borderId="5" xfId="1" applyNumberFormat="1" applyFont="1" applyFill="1" applyBorder="1" applyAlignment="1">
      <alignment horizontal="center" vertical="center" wrapText="1"/>
    </xf>
    <xf numFmtId="165" fontId="0" fillId="0" borderId="10" xfId="1" applyNumberFormat="1" applyFont="1" applyBorder="1"/>
    <xf numFmtId="165" fontId="5" fillId="5" borderId="5" xfId="1" applyNumberFormat="1" applyFont="1" applyFill="1" applyBorder="1" applyAlignment="1">
      <alignment horizontal="center" vertical="center" wrapText="1"/>
    </xf>
    <xf numFmtId="165" fontId="5" fillId="3" borderId="5" xfId="1" applyNumberFormat="1" applyFont="1" applyFill="1" applyBorder="1" applyAlignment="1">
      <alignment horizontal="center" vertical="center" wrapText="1"/>
    </xf>
    <xf numFmtId="165" fontId="0" fillId="0" borderId="6" xfId="1" applyNumberFormat="1" applyFont="1" applyBorder="1"/>
    <xf numFmtId="165" fontId="0" fillId="0" borderId="7" xfId="1" applyNumberFormat="1" applyFont="1" applyBorder="1"/>
    <xf numFmtId="165" fontId="5" fillId="6" borderId="9" xfId="1" applyNumberFormat="1" applyFont="1" applyFill="1" applyBorder="1" applyAlignment="1">
      <alignment horizontal="center" vertical="center" wrapText="1"/>
    </xf>
    <xf numFmtId="165" fontId="0" fillId="0" borderId="13" xfId="1" applyNumberFormat="1" applyFont="1" applyBorder="1"/>
    <xf numFmtId="165" fontId="5" fillId="6" borderId="5" xfId="1" applyNumberFormat="1" applyFont="1" applyFill="1" applyBorder="1" applyAlignment="1">
      <alignment horizontal="center" vertical="center" wrapText="1"/>
    </xf>
    <xf numFmtId="165" fontId="5" fillId="3" borderId="22" xfId="1" applyNumberFormat="1" applyFont="1" applyFill="1" applyBorder="1" applyAlignment="1">
      <alignment horizontal="center" vertical="center" wrapText="1"/>
    </xf>
    <xf numFmtId="165" fontId="5" fillId="3" borderId="23" xfId="1" applyNumberFormat="1" applyFont="1" applyFill="1" applyBorder="1" applyAlignment="1">
      <alignment horizontal="center" vertical="center" wrapText="1"/>
    </xf>
    <xf numFmtId="165" fontId="5" fillId="3" borderId="24" xfId="1" applyNumberFormat="1" applyFont="1" applyFill="1" applyBorder="1" applyAlignment="1">
      <alignment horizontal="center" vertical="center" wrapText="1"/>
    </xf>
    <xf numFmtId="165" fontId="3" fillId="2" borderId="1" xfId="1" applyNumberFormat="1" applyFont="1" applyFill="1" applyBorder="1" applyAlignment="1">
      <alignment horizontal="center"/>
    </xf>
    <xf numFmtId="165" fontId="0" fillId="0" borderId="2" xfId="1" applyNumberFormat="1" applyFont="1" applyBorder="1"/>
    <xf numFmtId="165" fontId="3" fillId="3" borderId="3" xfId="1" applyNumberFormat="1" applyFont="1" applyFill="1" applyBorder="1" applyAlignment="1">
      <alignment horizontal="center"/>
    </xf>
    <xf numFmtId="165" fontId="4" fillId="0" borderId="0" xfId="1" applyNumberFormat="1" applyFont="1"/>
    <xf numFmtId="165" fontId="3" fillId="5" borderId="1" xfId="1" applyNumberFormat="1" applyFont="1" applyFill="1" applyBorder="1" applyAlignment="1">
      <alignment horizontal="center"/>
    </xf>
    <xf numFmtId="165" fontId="0" fillId="0" borderId="4" xfId="1" applyNumberFormat="1" applyFont="1" applyBorder="1"/>
    <xf numFmtId="14" fontId="5" fillId="0" borderId="5" xfId="0" applyNumberFormat="1" applyFont="1" applyBorder="1" applyAlignment="1">
      <alignment horizontal="center" vertical="center" wrapText="1"/>
    </xf>
    <xf numFmtId="14" fontId="0" fillId="0" borderId="10" xfId="0" applyNumberFormat="1" applyBorder="1"/>
    <xf numFmtId="165" fontId="5" fillId="2" borderId="5" xfId="1" applyNumberFormat="1" applyFont="1" applyFill="1" applyBorder="1" applyAlignment="1">
      <alignment horizontal="center" vertical="center" wrapText="1"/>
    </xf>
    <xf numFmtId="165" fontId="5" fillId="3" borderId="8" xfId="1" applyNumberFormat="1" applyFont="1" applyFill="1" applyBorder="1" applyAlignment="1">
      <alignment horizontal="center" vertical="center" wrapText="1"/>
    </xf>
    <xf numFmtId="165" fontId="0" fillId="0" borderId="12" xfId="1" applyNumberFormat="1" applyFont="1" applyBorder="1"/>
  </cellXfs>
  <cellStyles count="10">
    <cellStyle name="Comma" xfId="1" builtinId="3"/>
    <cellStyle name="Comma 2" xfId="3" xr:uid="{00000000-0005-0000-0000-000001000000}"/>
    <cellStyle name="Comma 3" xfId="5" xr:uid="{00000000-0005-0000-0000-000002000000}"/>
    <cellStyle name="Normal" xfId="0" builtinId="0"/>
    <cellStyle name="Normal 1116" xfId="6" xr:uid="{00000000-0005-0000-0000-000004000000}"/>
    <cellStyle name="Normal 1117" xfId="7" xr:uid="{00000000-0005-0000-0000-000005000000}"/>
    <cellStyle name="Normal 2" xfId="2" xr:uid="{00000000-0005-0000-0000-000006000000}"/>
    <cellStyle name="Normal 569" xfId="8" xr:uid="{00000000-0005-0000-0000-000007000000}"/>
    <cellStyle name="Percent" xfId="9" builtinId="5"/>
    <cellStyle name="Percent 2" xfId="4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Y:\ETF\Weekly\2024\ETF%20weeky%20report%20final_Uyen.xlsx" TargetMode="External"/><Relationship Id="rId1" Type="http://schemas.openxmlformats.org/officeDocument/2006/relationships/externalLinkPath" Target="/ETF/Weekly/2024/ETF%20weeky%20report%20final_Uy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0.2019"/>
      <sheetName val="11.2019"/>
      <sheetName val="12.2019"/>
      <sheetName val="01.2020"/>
      <sheetName val="02.2020"/>
      <sheetName val="03.2020"/>
      <sheetName val="04.2020"/>
      <sheetName val="05.2020"/>
      <sheetName val="06.2020"/>
      <sheetName val="07.2020"/>
      <sheetName val="08.2020"/>
      <sheetName val="09.2020"/>
      <sheetName val="10.2020"/>
      <sheetName val="11.2020"/>
      <sheetName val="12.2020"/>
      <sheetName val="01.2021"/>
      <sheetName val="02.2021"/>
      <sheetName val="03.2021"/>
      <sheetName val="04.2021"/>
      <sheetName val="05.2021"/>
      <sheetName val="06.2021"/>
      <sheetName val="07.2021"/>
      <sheetName val="08.2021"/>
      <sheetName val="09.2021"/>
      <sheetName val="10.2021"/>
      <sheetName val="11.2021"/>
      <sheetName val="12.2021"/>
      <sheetName val="01.2022"/>
      <sheetName val="02.2022"/>
      <sheetName val="03.2022"/>
      <sheetName val="04.2022"/>
      <sheetName val="05.2022"/>
      <sheetName val="06.2022"/>
      <sheetName val="07.2022"/>
      <sheetName val="08.2022"/>
      <sheetName val="09.2022"/>
      <sheetName val="10.2022"/>
      <sheetName val="11.2022"/>
      <sheetName val="12.2022"/>
      <sheetName val="01.2023"/>
      <sheetName val="02.2023"/>
      <sheetName val="03.2023"/>
      <sheetName val="04.2023"/>
      <sheetName val="05.2023"/>
      <sheetName val="06.2023"/>
      <sheetName val="07.2023"/>
      <sheetName val="08.2023"/>
      <sheetName val="09.2023"/>
      <sheetName val="10.2023"/>
      <sheetName val="11.2023"/>
      <sheetName val="12.2023"/>
      <sheetName val="01.2024"/>
      <sheetName val="02.2024"/>
      <sheetName val="03.2024"/>
      <sheetName val="04.2024"/>
      <sheetName val="05.2024"/>
      <sheetName val="06.2024"/>
      <sheetName val="07.2024"/>
      <sheetName val="08.2024"/>
      <sheetName val="Sheet1"/>
      <sheetName val="Inco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4">
          <cell r="I4" t="str">
            <v>LP</v>
          </cell>
          <cell r="J4" t="str">
            <v>Block</v>
          </cell>
          <cell r="K4" t="str">
            <v>Trading value</v>
          </cell>
          <cell r="M4" t="str">
            <v>LP</v>
          </cell>
          <cell r="N4" t="str">
            <v>Block</v>
          </cell>
          <cell r="O4" t="str">
            <v>Trading value</v>
          </cell>
          <cell r="P4" t="str">
            <v>LP</v>
          </cell>
          <cell r="Q4" t="str">
            <v>Block</v>
          </cell>
          <cell r="R4" t="str">
            <v>Trading value</v>
          </cell>
          <cell r="S4" t="str">
            <v>LP</v>
          </cell>
          <cell r="T4" t="str">
            <v>Block</v>
          </cell>
          <cell r="U4" t="str">
            <v>Trading value</v>
          </cell>
          <cell r="V4" t="str">
            <v>LP</v>
          </cell>
          <cell r="W4" t="str">
            <v>Block</v>
          </cell>
          <cell r="X4" t="str">
            <v>Trading value</v>
          </cell>
          <cell r="Y4" t="str">
            <v>LP</v>
          </cell>
          <cell r="Z4" t="str">
            <v>Block</v>
          </cell>
          <cell r="AA4" t="str">
            <v>Trading value</v>
          </cell>
          <cell r="AB4" t="str">
            <v>LP</v>
          </cell>
          <cell r="AC4" t="str">
            <v>Block</v>
          </cell>
          <cell r="AD4" t="str">
            <v>Trading value</v>
          </cell>
          <cell r="AE4" t="str">
            <v>LP</v>
          </cell>
          <cell r="AF4" t="str">
            <v>Block</v>
          </cell>
          <cell r="AG4" t="str">
            <v>Trading value</v>
          </cell>
          <cell r="AH4" t="str">
            <v>LP</v>
          </cell>
          <cell r="AI4" t="str">
            <v>Block</v>
          </cell>
          <cell r="AJ4" t="str">
            <v>Trading value</v>
          </cell>
        </row>
        <row r="5">
          <cell r="B5">
            <v>43670</v>
          </cell>
          <cell r="C5">
            <v>995897500</v>
          </cell>
          <cell r="G5">
            <v>995897500</v>
          </cell>
          <cell r="H5">
            <v>298769</v>
          </cell>
        </row>
        <row r="8">
          <cell r="C8">
            <v>995897500</v>
          </cell>
          <cell r="D8">
            <v>0</v>
          </cell>
          <cell r="G8">
            <v>995897500</v>
          </cell>
          <cell r="H8">
            <v>298769</v>
          </cell>
          <cell r="K8">
            <v>0</v>
          </cell>
          <cell r="AK8">
            <v>0</v>
          </cell>
          <cell r="AL8">
            <v>0</v>
          </cell>
        </row>
        <row r="9">
          <cell r="G9">
            <v>0</v>
          </cell>
        </row>
        <row r="10">
          <cell r="B10">
            <v>43676</v>
          </cell>
          <cell r="C10">
            <v>465763500</v>
          </cell>
          <cell r="G10">
            <v>465763500</v>
          </cell>
          <cell r="H10">
            <v>139729</v>
          </cell>
          <cell r="I10">
            <v>36580000</v>
          </cell>
          <cell r="K10">
            <v>36580000</v>
          </cell>
          <cell r="AK10">
            <v>7316</v>
          </cell>
        </row>
        <row r="11">
          <cell r="B11">
            <v>43678</v>
          </cell>
          <cell r="G11">
            <v>0</v>
          </cell>
          <cell r="I11">
            <v>1415886000</v>
          </cell>
          <cell r="K11">
            <v>1415886000</v>
          </cell>
          <cell r="AK11">
            <v>283177</v>
          </cell>
          <cell r="AL11">
            <v>48225</v>
          </cell>
        </row>
        <row r="12">
          <cell r="G12">
            <v>0</v>
          </cell>
          <cell r="I12">
            <v>0</v>
          </cell>
        </row>
        <row r="13">
          <cell r="G13">
            <v>0</v>
          </cell>
          <cell r="I13">
            <v>0</v>
          </cell>
        </row>
        <row r="14">
          <cell r="C14">
            <v>465763500</v>
          </cell>
          <cell r="D14">
            <v>0</v>
          </cell>
          <cell r="G14">
            <v>465763500</v>
          </cell>
          <cell r="H14">
            <v>139729</v>
          </cell>
          <cell r="I14">
            <v>1452466000</v>
          </cell>
          <cell r="J14">
            <v>0</v>
          </cell>
          <cell r="K14">
            <v>1452466000</v>
          </cell>
          <cell r="AK14">
            <v>290493</v>
          </cell>
          <cell r="AL14">
            <v>48225</v>
          </cell>
        </row>
        <row r="15">
          <cell r="B15" t="str">
            <v>05/08/2019</v>
          </cell>
          <cell r="I15">
            <v>1578338700</v>
          </cell>
          <cell r="K15">
            <v>1578338700</v>
          </cell>
          <cell r="AK15">
            <v>315668</v>
          </cell>
          <cell r="AL15">
            <v>3015</v>
          </cell>
        </row>
        <row r="16">
          <cell r="I16">
            <v>0</v>
          </cell>
        </row>
        <row r="17">
          <cell r="I17">
            <v>0</v>
          </cell>
        </row>
        <row r="18">
          <cell r="B18">
            <v>43685</v>
          </cell>
          <cell r="G18">
            <v>9821000</v>
          </cell>
          <cell r="H18">
            <v>2946</v>
          </cell>
          <cell r="I18">
            <v>0</v>
          </cell>
          <cell r="AK18">
            <v>0</v>
          </cell>
          <cell r="AL18">
            <v>305</v>
          </cell>
        </row>
        <row r="19">
          <cell r="B19">
            <v>43686</v>
          </cell>
          <cell r="C19">
            <v>1075493000</v>
          </cell>
          <cell r="D19">
            <v>369132000</v>
          </cell>
          <cell r="G19">
            <v>1444625000</v>
          </cell>
          <cell r="H19">
            <v>433388</v>
          </cell>
          <cell r="I19">
            <v>36133600</v>
          </cell>
          <cell r="K19">
            <v>36133600</v>
          </cell>
          <cell r="AK19">
            <v>7227</v>
          </cell>
          <cell r="AL19">
            <v>12700</v>
          </cell>
        </row>
        <row r="20">
          <cell r="C20">
            <v>1075493000</v>
          </cell>
          <cell r="D20">
            <v>369132000</v>
          </cell>
          <cell r="G20">
            <v>1454446000</v>
          </cell>
          <cell r="H20">
            <v>436334</v>
          </cell>
          <cell r="I20">
            <v>1614472300</v>
          </cell>
          <cell r="J20">
            <v>0</v>
          </cell>
          <cell r="K20">
            <v>1614472300</v>
          </cell>
          <cell r="AK20">
            <v>322895</v>
          </cell>
          <cell r="AL20">
            <v>16020</v>
          </cell>
        </row>
        <row r="21">
          <cell r="B21" t="str">
            <v>29/08/2019</v>
          </cell>
          <cell r="I21">
            <v>705956800</v>
          </cell>
          <cell r="K21">
            <v>705956800</v>
          </cell>
          <cell r="AK21">
            <v>141191</v>
          </cell>
        </row>
        <row r="22">
          <cell r="I22">
            <v>0</v>
          </cell>
        </row>
        <row r="23">
          <cell r="G23">
            <v>0</v>
          </cell>
          <cell r="H23">
            <v>0</v>
          </cell>
          <cell r="I23">
            <v>705956800</v>
          </cell>
          <cell r="J23">
            <v>0</v>
          </cell>
          <cell r="K23">
            <v>705956800</v>
          </cell>
          <cell r="AK23">
            <v>141191</v>
          </cell>
          <cell r="AL23">
            <v>0</v>
          </cell>
        </row>
        <row r="24">
          <cell r="I24">
            <v>0</v>
          </cell>
        </row>
        <row r="25">
          <cell r="I25">
            <v>0</v>
          </cell>
        </row>
        <row r="26">
          <cell r="I26">
            <v>0</v>
          </cell>
        </row>
        <row r="27">
          <cell r="B27" t="str">
            <v>06/09/2019</v>
          </cell>
          <cell r="I27">
            <v>798613200</v>
          </cell>
          <cell r="K27">
            <v>798613200</v>
          </cell>
          <cell r="AK27">
            <v>159723</v>
          </cell>
        </row>
        <row r="28">
          <cell r="G28">
            <v>0</v>
          </cell>
          <cell r="H28">
            <v>0</v>
          </cell>
          <cell r="I28">
            <v>798613200</v>
          </cell>
          <cell r="J28">
            <v>0</v>
          </cell>
          <cell r="K28">
            <v>798613200</v>
          </cell>
          <cell r="AK28">
            <v>159723</v>
          </cell>
          <cell r="AL28">
            <v>0</v>
          </cell>
        </row>
        <row r="29">
          <cell r="I29">
            <v>0</v>
          </cell>
        </row>
        <row r="30">
          <cell r="B30" t="str">
            <v>10/09/2019</v>
          </cell>
          <cell r="I30">
            <v>2350600</v>
          </cell>
          <cell r="K30">
            <v>2350600</v>
          </cell>
          <cell r="AK30">
            <v>470</v>
          </cell>
        </row>
        <row r="31">
          <cell r="B31" t="str">
            <v>11/09/2019</v>
          </cell>
          <cell r="I31">
            <v>1503373600</v>
          </cell>
          <cell r="K31">
            <v>1503373600</v>
          </cell>
          <cell r="AK31">
            <v>300675</v>
          </cell>
        </row>
        <row r="32">
          <cell r="I32">
            <v>0</v>
          </cell>
        </row>
        <row r="33">
          <cell r="I33">
            <v>0</v>
          </cell>
        </row>
        <row r="34">
          <cell r="G34">
            <v>0</v>
          </cell>
          <cell r="H34">
            <v>0</v>
          </cell>
          <cell r="I34">
            <v>1505724200</v>
          </cell>
          <cell r="J34">
            <v>0</v>
          </cell>
          <cell r="K34">
            <v>1505724200</v>
          </cell>
          <cell r="AK34">
            <v>301145</v>
          </cell>
          <cell r="AL34">
            <v>0</v>
          </cell>
        </row>
        <row r="35">
          <cell r="I35">
            <v>0</v>
          </cell>
        </row>
        <row r="36">
          <cell r="B36" t="str">
            <v>17/09/2019</v>
          </cell>
          <cell r="I36">
            <v>988555200</v>
          </cell>
          <cell r="K36">
            <v>988555200</v>
          </cell>
          <cell r="AK36">
            <v>197711</v>
          </cell>
        </row>
        <row r="37">
          <cell r="B37" t="str">
            <v>18/09/2019</v>
          </cell>
          <cell r="I37">
            <v>5026560700</v>
          </cell>
          <cell r="K37">
            <v>5026560700</v>
          </cell>
          <cell r="AK37">
            <v>1005312</v>
          </cell>
        </row>
        <row r="38">
          <cell r="I38">
            <v>0</v>
          </cell>
        </row>
        <row r="39">
          <cell r="I39">
            <v>0</v>
          </cell>
        </row>
        <row r="40">
          <cell r="G40">
            <v>0</v>
          </cell>
          <cell r="H40">
            <v>0</v>
          </cell>
          <cell r="I40">
            <v>6015115900</v>
          </cell>
          <cell r="J40">
            <v>0</v>
          </cell>
          <cell r="K40">
            <v>6015115900</v>
          </cell>
          <cell r="AK40">
            <v>1203023</v>
          </cell>
          <cell r="AL40">
            <v>0</v>
          </cell>
        </row>
        <row r="41">
          <cell r="I41">
            <v>0</v>
          </cell>
        </row>
        <row r="42">
          <cell r="B42" t="str">
            <v>24/09/2019</v>
          </cell>
          <cell r="I42">
            <v>10612000</v>
          </cell>
          <cell r="K42">
            <v>10612000</v>
          </cell>
          <cell r="AK42">
            <v>2122</v>
          </cell>
          <cell r="AL42">
            <v>175</v>
          </cell>
        </row>
        <row r="43">
          <cell r="B43" t="str">
            <v>25/09/2019</v>
          </cell>
          <cell r="I43">
            <v>1667955000</v>
          </cell>
          <cell r="K43">
            <v>1667955000</v>
          </cell>
          <cell r="AK43">
            <v>333591</v>
          </cell>
          <cell r="AL43">
            <v>500</v>
          </cell>
        </row>
        <row r="44">
          <cell r="B44" t="str">
            <v>26/09/2019</v>
          </cell>
          <cell r="I44">
            <v>2000822600</v>
          </cell>
          <cell r="J44">
            <v>7596000000</v>
          </cell>
          <cell r="K44">
            <v>9596822600</v>
          </cell>
          <cell r="AK44">
            <v>1919365</v>
          </cell>
          <cell r="AL44">
            <v>65735</v>
          </cell>
        </row>
        <row r="45">
          <cell r="B45" t="str">
            <v>27/09/2019</v>
          </cell>
          <cell r="I45">
            <v>3221970400</v>
          </cell>
          <cell r="J45">
            <v>6115500000</v>
          </cell>
          <cell r="K45">
            <v>9337470400</v>
          </cell>
          <cell r="AK45">
            <v>1867494</v>
          </cell>
          <cell r="AL45">
            <v>104945</v>
          </cell>
        </row>
        <row r="46">
          <cell r="G46">
            <v>0</v>
          </cell>
          <cell r="H46">
            <v>0</v>
          </cell>
          <cell r="I46">
            <v>6901360000</v>
          </cell>
          <cell r="J46">
            <v>13711500000</v>
          </cell>
          <cell r="K46">
            <v>20612860000</v>
          </cell>
          <cell r="AK46">
            <v>4122572</v>
          </cell>
          <cell r="AL46">
            <v>171355</v>
          </cell>
        </row>
        <row r="47">
          <cell r="B47" t="str">
            <v>30/09/2019</v>
          </cell>
          <cell r="I47">
            <v>4659170000</v>
          </cell>
          <cell r="J47">
            <v>7708000000</v>
          </cell>
          <cell r="K47">
            <v>12367170000</v>
          </cell>
          <cell r="AK47">
            <v>2473434</v>
          </cell>
          <cell r="AL47">
            <v>150785</v>
          </cell>
        </row>
        <row r="48">
          <cell r="B48" t="str">
            <v>01/10/2019</v>
          </cell>
          <cell r="I48">
            <v>3100978400</v>
          </cell>
          <cell r="J48">
            <v>3072500000</v>
          </cell>
          <cell r="K48">
            <v>6173478400</v>
          </cell>
          <cell r="AK48">
            <v>986617</v>
          </cell>
          <cell r="AL48">
            <v>75660</v>
          </cell>
        </row>
        <row r="49">
          <cell r="B49" t="str">
            <v>02/10/2019</v>
          </cell>
          <cell r="I49">
            <v>8103864600</v>
          </cell>
          <cell r="J49">
            <v>7672500000</v>
          </cell>
          <cell r="K49">
            <v>15776364600</v>
          </cell>
          <cell r="AK49">
            <v>2506964</v>
          </cell>
          <cell r="AL49">
            <v>263920</v>
          </cell>
        </row>
        <row r="50">
          <cell r="B50" t="str">
            <v>03/10/2019</v>
          </cell>
          <cell r="I50">
            <v>1578056000</v>
          </cell>
          <cell r="K50">
            <v>1578056000</v>
          </cell>
          <cell r="AK50">
            <v>189367</v>
          </cell>
          <cell r="AL50">
            <v>50000</v>
          </cell>
        </row>
        <row r="51">
          <cell r="B51" t="str">
            <v>04/10/2019</v>
          </cell>
          <cell r="I51">
            <v>1711073000</v>
          </cell>
          <cell r="J51">
            <v>1529500000</v>
          </cell>
          <cell r="K51">
            <v>3240573000</v>
          </cell>
          <cell r="AK51">
            <v>511229</v>
          </cell>
          <cell r="AL51">
            <v>50000</v>
          </cell>
        </row>
        <row r="52">
          <cell r="G52">
            <v>0</v>
          </cell>
          <cell r="H52">
            <v>0</v>
          </cell>
          <cell r="I52">
            <v>19153142000</v>
          </cell>
          <cell r="J52">
            <v>19982500000</v>
          </cell>
          <cell r="K52">
            <v>39135642000</v>
          </cell>
          <cell r="AK52">
            <v>6667611</v>
          </cell>
          <cell r="AL52">
            <v>590365</v>
          </cell>
        </row>
        <row r="53">
          <cell r="B53" t="str">
            <v>07/10/2019</v>
          </cell>
          <cell r="I53">
            <v>1616411300</v>
          </cell>
          <cell r="J53">
            <v>1522000000</v>
          </cell>
          <cell r="K53">
            <v>3138411300</v>
          </cell>
          <cell r="AK53">
            <v>498369</v>
          </cell>
          <cell r="AL53">
            <v>50000</v>
          </cell>
        </row>
        <row r="54">
          <cell r="B54" t="str">
            <v>08/10/2019</v>
          </cell>
          <cell r="I54">
            <v>2066760600</v>
          </cell>
          <cell r="K54">
            <v>2066760600</v>
          </cell>
          <cell r="AK54">
            <v>248011</v>
          </cell>
          <cell r="AL54">
            <v>17095</v>
          </cell>
        </row>
        <row r="55">
          <cell r="B55" t="str">
            <v>09/10/2019</v>
          </cell>
          <cell r="I55">
            <v>7122029600</v>
          </cell>
          <cell r="K55">
            <v>7122029600</v>
          </cell>
          <cell r="AK55">
            <v>854644</v>
          </cell>
          <cell r="AL55">
            <v>233910</v>
          </cell>
        </row>
        <row r="56">
          <cell r="B56">
            <v>43748</v>
          </cell>
          <cell r="C56">
            <v>2021984500</v>
          </cell>
          <cell r="D56">
            <v>926403500</v>
          </cell>
          <cell r="G56">
            <v>2948388000</v>
          </cell>
          <cell r="H56">
            <v>884516</v>
          </cell>
          <cell r="I56">
            <v>2271421400</v>
          </cell>
          <cell r="K56">
            <v>2271421400</v>
          </cell>
          <cell r="AK56">
            <v>272571</v>
          </cell>
          <cell r="AL56">
            <v>22520</v>
          </cell>
        </row>
        <row r="57">
          <cell r="B57">
            <v>43749</v>
          </cell>
          <cell r="G57">
            <v>79745000</v>
          </cell>
          <cell r="H57">
            <v>23924</v>
          </cell>
          <cell r="I57">
            <v>1246800400</v>
          </cell>
          <cell r="K57">
            <v>1246800400</v>
          </cell>
          <cell r="AK57">
            <v>149616</v>
          </cell>
          <cell r="AL57">
            <v>39325</v>
          </cell>
        </row>
        <row r="58">
          <cell r="C58">
            <v>2021984500</v>
          </cell>
          <cell r="D58">
            <v>926403500</v>
          </cell>
          <cell r="G58">
            <v>3028133000</v>
          </cell>
          <cell r="H58">
            <v>908440</v>
          </cell>
          <cell r="I58">
            <v>14323423300</v>
          </cell>
          <cell r="J58">
            <v>1522000000</v>
          </cell>
          <cell r="K58">
            <v>15845423300</v>
          </cell>
          <cell r="AK58">
            <v>2023211</v>
          </cell>
          <cell r="AL58">
            <v>362850</v>
          </cell>
        </row>
        <row r="59">
          <cell r="B59" t="str">
            <v>14/10/2019</v>
          </cell>
          <cell r="I59">
            <v>2767844700</v>
          </cell>
          <cell r="K59">
            <v>2767844700</v>
          </cell>
          <cell r="AK59">
            <v>332141</v>
          </cell>
          <cell r="AL59">
            <v>2250</v>
          </cell>
        </row>
        <row r="60">
          <cell r="B60" t="str">
            <v>15/10/2019</v>
          </cell>
          <cell r="I60">
            <v>5851847600</v>
          </cell>
          <cell r="K60">
            <v>5851847600</v>
          </cell>
          <cell r="AK60">
            <v>702222</v>
          </cell>
          <cell r="AL60">
            <v>114990</v>
          </cell>
        </row>
        <row r="61">
          <cell r="B61" t="str">
            <v>16/10/2019</v>
          </cell>
          <cell r="I61">
            <v>3327274000</v>
          </cell>
          <cell r="K61">
            <v>3327274000</v>
          </cell>
          <cell r="AK61">
            <v>399273</v>
          </cell>
        </row>
        <row r="62">
          <cell r="B62" t="str">
            <v>17/10/2019</v>
          </cell>
          <cell r="I62">
            <v>7424221500</v>
          </cell>
          <cell r="K62">
            <v>7424221500</v>
          </cell>
          <cell r="AK62">
            <v>890907</v>
          </cell>
          <cell r="AL62">
            <v>39825</v>
          </cell>
        </row>
        <row r="63">
          <cell r="B63" t="str">
            <v>18/10/2019</v>
          </cell>
          <cell r="I63">
            <v>3829719600</v>
          </cell>
          <cell r="K63">
            <v>3829719600</v>
          </cell>
          <cell r="AK63">
            <v>459566</v>
          </cell>
          <cell r="AL63">
            <v>85010</v>
          </cell>
        </row>
        <row r="64">
          <cell r="G64">
            <v>0</v>
          </cell>
          <cell r="H64">
            <v>0</v>
          </cell>
          <cell r="I64">
            <v>23200907400</v>
          </cell>
          <cell r="J64">
            <v>0</v>
          </cell>
          <cell r="K64">
            <v>23200907400</v>
          </cell>
          <cell r="AK64">
            <v>2784109</v>
          </cell>
          <cell r="AL64">
            <v>242075</v>
          </cell>
        </row>
        <row r="65">
          <cell r="B65" t="str">
            <v>21/10/2019</v>
          </cell>
          <cell r="I65">
            <v>2514882400</v>
          </cell>
          <cell r="K65">
            <v>2514882400</v>
          </cell>
          <cell r="AK65">
            <v>301786</v>
          </cell>
          <cell r="AL65">
            <v>31505</v>
          </cell>
        </row>
        <row r="66">
          <cell r="B66" t="str">
            <v>22/10/2019</v>
          </cell>
          <cell r="I66">
            <v>3204848100</v>
          </cell>
          <cell r="K66">
            <v>3204848100</v>
          </cell>
          <cell r="AK66">
            <v>384582</v>
          </cell>
          <cell r="AL66">
            <v>3000</v>
          </cell>
        </row>
        <row r="67">
          <cell r="B67" t="str">
            <v>23/10/2019</v>
          </cell>
          <cell r="I67">
            <v>5687257800</v>
          </cell>
          <cell r="K67">
            <v>5687257800</v>
          </cell>
          <cell r="AK67">
            <v>682471</v>
          </cell>
          <cell r="AL67">
            <v>186530</v>
          </cell>
        </row>
        <row r="68">
          <cell r="B68" t="str">
            <v>24/10/2019</v>
          </cell>
          <cell r="I68">
            <v>4853521500</v>
          </cell>
          <cell r="J68">
            <v>1537800000</v>
          </cell>
          <cell r="K68">
            <v>6391321500</v>
          </cell>
          <cell r="AK68">
            <v>889983</v>
          </cell>
          <cell r="AL68">
            <v>158435</v>
          </cell>
        </row>
        <row r="69">
          <cell r="B69" t="str">
            <v>25/10/2019</v>
          </cell>
          <cell r="I69">
            <v>847439700</v>
          </cell>
          <cell r="K69">
            <v>847439700</v>
          </cell>
          <cell r="AK69">
            <v>101693</v>
          </cell>
          <cell r="AL69">
            <v>7745</v>
          </cell>
        </row>
        <row r="70">
          <cell r="G70">
            <v>0</v>
          </cell>
          <cell r="H70">
            <v>0</v>
          </cell>
          <cell r="I70">
            <v>17107949500</v>
          </cell>
          <cell r="J70">
            <v>1537800000</v>
          </cell>
          <cell r="K70">
            <v>18645749500</v>
          </cell>
          <cell r="AK70">
            <v>2360515</v>
          </cell>
          <cell r="AL70">
            <v>387215</v>
          </cell>
        </row>
        <row r="71">
          <cell r="B71">
            <v>43766</v>
          </cell>
          <cell r="I71">
            <v>3007625700</v>
          </cell>
          <cell r="J71">
            <v>4626000000</v>
          </cell>
          <cell r="K71">
            <v>7633625700</v>
          </cell>
          <cell r="AK71">
            <v>1286115</v>
          </cell>
          <cell r="AL71">
            <v>95665</v>
          </cell>
        </row>
        <row r="72">
          <cell r="B72">
            <v>43767</v>
          </cell>
          <cell r="I72">
            <v>4240271300</v>
          </cell>
          <cell r="K72">
            <v>4240271300</v>
          </cell>
          <cell r="AK72">
            <v>508833</v>
          </cell>
          <cell r="AL72">
            <v>62565</v>
          </cell>
        </row>
        <row r="73">
          <cell r="B73">
            <v>43768</v>
          </cell>
          <cell r="I73">
            <v>6421991800</v>
          </cell>
          <cell r="K73">
            <v>6421991800</v>
          </cell>
          <cell r="AK73">
            <v>770639</v>
          </cell>
          <cell r="AL73">
            <v>8100</v>
          </cell>
        </row>
        <row r="74">
          <cell r="B74">
            <v>43769</v>
          </cell>
          <cell r="I74">
            <v>4160484400</v>
          </cell>
          <cell r="K74">
            <v>4160484400</v>
          </cell>
          <cell r="AK74">
            <v>499258</v>
          </cell>
          <cell r="AL74">
            <v>64370</v>
          </cell>
        </row>
        <row r="75">
          <cell r="B75">
            <v>43770</v>
          </cell>
          <cell r="C75">
            <v>22764000000</v>
          </cell>
          <cell r="G75">
            <v>22764000000</v>
          </cell>
          <cell r="H75">
            <v>6829200</v>
          </cell>
          <cell r="I75">
            <v>5796446900</v>
          </cell>
          <cell r="J75">
            <v>3102400000</v>
          </cell>
          <cell r="K75">
            <v>8898846900</v>
          </cell>
          <cell r="AK75">
            <v>1316054</v>
          </cell>
          <cell r="AL75">
            <v>158735</v>
          </cell>
        </row>
        <row r="76">
          <cell r="C76">
            <v>22764000000</v>
          </cell>
          <cell r="D76">
            <v>0</v>
          </cell>
          <cell r="G76">
            <v>22764000000</v>
          </cell>
          <cell r="H76">
            <v>6829200</v>
          </cell>
          <cell r="I76">
            <v>23626820100</v>
          </cell>
          <cell r="J76">
            <v>7728400000</v>
          </cell>
          <cell r="K76">
            <v>31355220100</v>
          </cell>
          <cell r="AK76">
            <v>4380899</v>
          </cell>
          <cell r="AL76">
            <v>389435</v>
          </cell>
        </row>
        <row r="77">
          <cell r="B77">
            <v>43773</v>
          </cell>
          <cell r="I77">
            <v>7606622600</v>
          </cell>
          <cell r="K77">
            <v>7606622600</v>
          </cell>
          <cell r="AK77">
            <v>912795</v>
          </cell>
          <cell r="AL77">
            <v>243680</v>
          </cell>
        </row>
        <row r="78">
          <cell r="B78">
            <v>43774</v>
          </cell>
          <cell r="I78">
            <v>4673615800</v>
          </cell>
          <cell r="K78">
            <v>4673615800</v>
          </cell>
          <cell r="AK78">
            <v>560834</v>
          </cell>
          <cell r="AL78">
            <v>149175</v>
          </cell>
        </row>
        <row r="79">
          <cell r="B79">
            <v>43775</v>
          </cell>
          <cell r="C79">
            <v>22764000000</v>
          </cell>
          <cell r="G79">
            <v>22764000000</v>
          </cell>
          <cell r="H79">
            <v>6829200</v>
          </cell>
          <cell r="I79">
            <v>5544629500</v>
          </cell>
          <cell r="J79">
            <v>1570000000</v>
          </cell>
          <cell r="K79">
            <v>7114629500</v>
          </cell>
          <cell r="AK79">
            <v>979356</v>
          </cell>
          <cell r="AL79">
            <v>359315</v>
          </cell>
        </row>
        <row r="80">
          <cell r="B80">
            <v>43776</v>
          </cell>
          <cell r="I80">
            <v>783375200</v>
          </cell>
          <cell r="J80">
            <v>1570100000</v>
          </cell>
          <cell r="K80">
            <v>2353475200</v>
          </cell>
          <cell r="AK80">
            <v>408025</v>
          </cell>
          <cell r="AL80">
            <v>25005</v>
          </cell>
        </row>
        <row r="81">
          <cell r="C81">
            <v>22764000000</v>
          </cell>
          <cell r="D81">
            <v>0</v>
          </cell>
          <cell r="G81">
            <v>22764000000</v>
          </cell>
          <cell r="H81">
            <v>6829200</v>
          </cell>
          <cell r="I81">
            <v>18608243100</v>
          </cell>
          <cell r="J81">
            <v>3140100000</v>
          </cell>
          <cell r="K81">
            <v>21748343100</v>
          </cell>
          <cell r="AK81">
            <v>2861010</v>
          </cell>
          <cell r="AL81">
            <v>777175</v>
          </cell>
        </row>
        <row r="82">
          <cell r="B82">
            <v>43777</v>
          </cell>
          <cell r="I82">
            <v>5658746300</v>
          </cell>
          <cell r="K82">
            <v>5658746300</v>
          </cell>
          <cell r="AK82">
            <v>679050</v>
          </cell>
          <cell r="AL82">
            <v>15000</v>
          </cell>
        </row>
        <row r="83">
          <cell r="B83">
            <v>43780</v>
          </cell>
          <cell r="I83">
            <v>5828442600</v>
          </cell>
          <cell r="J83">
            <v>4717500000</v>
          </cell>
          <cell r="K83">
            <v>10545942600</v>
          </cell>
          <cell r="AK83">
            <v>1642913</v>
          </cell>
          <cell r="AL83">
            <v>82325</v>
          </cell>
        </row>
        <row r="84">
          <cell r="B84">
            <v>43781</v>
          </cell>
          <cell r="I84">
            <v>6342474500</v>
          </cell>
          <cell r="K84">
            <v>6342474500</v>
          </cell>
          <cell r="AK84">
            <v>761097</v>
          </cell>
          <cell r="AL84">
            <v>15195</v>
          </cell>
        </row>
        <row r="85">
          <cell r="B85">
            <v>43782</v>
          </cell>
          <cell r="I85">
            <v>4949222500</v>
          </cell>
          <cell r="K85">
            <v>4949222500</v>
          </cell>
          <cell r="AK85">
            <v>593907</v>
          </cell>
          <cell r="AL85">
            <v>5590</v>
          </cell>
        </row>
        <row r="86">
          <cell r="B86">
            <v>43783</v>
          </cell>
          <cell r="I86">
            <v>8299508200</v>
          </cell>
          <cell r="K86">
            <v>8299508200</v>
          </cell>
          <cell r="AK86">
            <v>995941</v>
          </cell>
          <cell r="AL86">
            <v>2500</v>
          </cell>
        </row>
        <row r="87">
          <cell r="C87">
            <v>0</v>
          </cell>
          <cell r="D87">
            <v>0</v>
          </cell>
          <cell r="G87">
            <v>0</v>
          </cell>
          <cell r="H87">
            <v>0</v>
          </cell>
          <cell r="I87">
            <v>31078394100</v>
          </cell>
          <cell r="J87">
            <v>4717500000</v>
          </cell>
          <cell r="K87">
            <v>35795894100</v>
          </cell>
          <cell r="AK87">
            <v>4672908</v>
          </cell>
          <cell r="AL87">
            <v>120610</v>
          </cell>
        </row>
        <row r="88">
          <cell r="B88">
            <v>43784</v>
          </cell>
          <cell r="H88">
            <v>0</v>
          </cell>
          <cell r="J88">
            <v>15430000000</v>
          </cell>
          <cell r="K88">
            <v>15430000000</v>
          </cell>
          <cell r="AK88">
            <v>3086000</v>
          </cell>
          <cell r="AL88">
            <v>0</v>
          </cell>
        </row>
        <row r="89">
          <cell r="B89">
            <v>43787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AK89">
            <v>0</v>
          </cell>
          <cell r="AL89">
            <v>0</v>
          </cell>
        </row>
        <row r="90">
          <cell r="B90">
            <v>43788</v>
          </cell>
          <cell r="H90">
            <v>0</v>
          </cell>
          <cell r="I90">
            <v>4538920300</v>
          </cell>
          <cell r="J90">
            <v>10743500000</v>
          </cell>
          <cell r="K90">
            <v>15282420300</v>
          </cell>
          <cell r="AK90">
            <v>2693370</v>
          </cell>
          <cell r="AL90">
            <v>250000</v>
          </cell>
        </row>
        <row r="91">
          <cell r="B91">
            <v>43789</v>
          </cell>
          <cell r="H91">
            <v>0</v>
          </cell>
          <cell r="I91">
            <v>773280300</v>
          </cell>
          <cell r="K91">
            <v>773280300</v>
          </cell>
          <cell r="AK91">
            <v>92794</v>
          </cell>
          <cell r="AL91">
            <v>15</v>
          </cell>
        </row>
        <row r="92">
          <cell r="B92">
            <v>43790</v>
          </cell>
          <cell r="C92">
            <v>14615567500</v>
          </cell>
          <cell r="D92">
            <v>7169802500</v>
          </cell>
          <cell r="G92">
            <v>21785370000</v>
          </cell>
          <cell r="H92">
            <v>6535611</v>
          </cell>
          <cell r="I92">
            <v>10866446500</v>
          </cell>
          <cell r="K92">
            <v>10866446500</v>
          </cell>
          <cell r="AK92">
            <v>1303974</v>
          </cell>
          <cell r="AL92">
            <v>155280</v>
          </cell>
        </row>
        <row r="93">
          <cell r="C93">
            <v>14615567500</v>
          </cell>
          <cell r="D93">
            <v>7169802500</v>
          </cell>
          <cell r="G93">
            <v>21785370000</v>
          </cell>
          <cell r="H93">
            <v>6535611</v>
          </cell>
          <cell r="I93">
            <v>16178647100</v>
          </cell>
          <cell r="J93">
            <v>26173500000</v>
          </cell>
          <cell r="K93">
            <v>42352147100</v>
          </cell>
          <cell r="AK93">
            <v>7176138</v>
          </cell>
          <cell r="AL93">
            <v>405295</v>
          </cell>
        </row>
        <row r="94">
          <cell r="B94">
            <v>43791</v>
          </cell>
          <cell r="C94">
            <v>602280000</v>
          </cell>
          <cell r="G94">
            <v>602280000</v>
          </cell>
          <cell r="H94">
            <v>180684</v>
          </cell>
          <cell r="I94">
            <v>7197207500</v>
          </cell>
          <cell r="J94">
            <v>4507500000</v>
          </cell>
          <cell r="K94">
            <v>11704707500</v>
          </cell>
          <cell r="AK94">
            <v>1765165</v>
          </cell>
          <cell r="AL94">
            <v>296140</v>
          </cell>
        </row>
        <row r="95">
          <cell r="B95">
            <v>43794</v>
          </cell>
          <cell r="H95">
            <v>0</v>
          </cell>
          <cell r="I95">
            <v>2147229800</v>
          </cell>
          <cell r="K95">
            <v>2147229800</v>
          </cell>
          <cell r="AK95">
            <v>257668</v>
          </cell>
          <cell r="AL95">
            <v>0</v>
          </cell>
        </row>
        <row r="96">
          <cell r="B96">
            <v>43795</v>
          </cell>
          <cell r="H96">
            <v>0</v>
          </cell>
          <cell r="I96">
            <v>3042027000</v>
          </cell>
          <cell r="J96">
            <v>7480000000</v>
          </cell>
          <cell r="K96">
            <v>10522027000</v>
          </cell>
          <cell r="AK96">
            <v>1861043</v>
          </cell>
          <cell r="AL96">
            <v>321670</v>
          </cell>
        </row>
        <row r="97">
          <cell r="B97">
            <v>43796</v>
          </cell>
          <cell r="H97">
            <v>0</v>
          </cell>
          <cell r="I97">
            <v>10461654400</v>
          </cell>
          <cell r="J97">
            <v>2997200000</v>
          </cell>
          <cell r="K97">
            <v>13458854400</v>
          </cell>
          <cell r="AK97">
            <v>1854839</v>
          </cell>
          <cell r="AL97">
            <v>201500</v>
          </cell>
        </row>
        <row r="98">
          <cell r="B98">
            <v>43797</v>
          </cell>
          <cell r="I98">
            <v>4276836100</v>
          </cell>
          <cell r="K98">
            <v>4276836100</v>
          </cell>
          <cell r="AK98">
            <v>513220</v>
          </cell>
          <cell r="AL98">
            <v>740</v>
          </cell>
        </row>
        <row r="99">
          <cell r="C99">
            <v>602280000</v>
          </cell>
          <cell r="D99">
            <v>0</v>
          </cell>
          <cell r="G99">
            <v>602280000</v>
          </cell>
          <cell r="H99">
            <v>180684</v>
          </cell>
          <cell r="I99">
            <v>27124954800</v>
          </cell>
          <cell r="J99">
            <v>14984700000</v>
          </cell>
          <cell r="K99">
            <v>42109654800</v>
          </cell>
          <cell r="AK99">
            <v>6251935</v>
          </cell>
          <cell r="AL99">
            <v>820050</v>
          </cell>
        </row>
        <row r="100">
          <cell r="B100">
            <v>43798</v>
          </cell>
          <cell r="I100">
            <v>4554106600</v>
          </cell>
          <cell r="J100">
            <v>1461537000</v>
          </cell>
          <cell r="K100">
            <v>6015643600</v>
          </cell>
          <cell r="AK100">
            <v>838800</v>
          </cell>
          <cell r="AL100">
            <v>500</v>
          </cell>
        </row>
        <row r="101">
          <cell r="B101">
            <v>43801</v>
          </cell>
          <cell r="I101">
            <v>8290443800</v>
          </cell>
          <cell r="J101">
            <v>2912600000</v>
          </cell>
          <cell r="K101">
            <v>11203043800</v>
          </cell>
          <cell r="AK101">
            <v>1577373</v>
          </cell>
          <cell r="AL101">
            <v>381845</v>
          </cell>
        </row>
        <row r="102">
          <cell r="B102">
            <v>43802</v>
          </cell>
          <cell r="I102">
            <v>7988418800</v>
          </cell>
          <cell r="J102">
            <v>4335000000</v>
          </cell>
          <cell r="K102">
            <v>12323418800</v>
          </cell>
          <cell r="AK102">
            <v>1825610</v>
          </cell>
          <cell r="AL102">
            <v>121230</v>
          </cell>
        </row>
        <row r="103">
          <cell r="B103">
            <v>43803</v>
          </cell>
          <cell r="I103">
            <v>3616014100</v>
          </cell>
          <cell r="K103">
            <v>3616014100</v>
          </cell>
          <cell r="AK103">
            <v>433922</v>
          </cell>
          <cell r="AL103">
            <v>24595</v>
          </cell>
        </row>
        <row r="104">
          <cell r="B104">
            <v>43804</v>
          </cell>
          <cell r="I104">
            <v>27923700</v>
          </cell>
          <cell r="J104">
            <v>1466000000</v>
          </cell>
          <cell r="K104">
            <v>1493923700</v>
          </cell>
          <cell r="AK104">
            <v>296551</v>
          </cell>
          <cell r="AL104">
            <v>470</v>
          </cell>
        </row>
        <row r="105">
          <cell r="C105">
            <v>0</v>
          </cell>
          <cell r="D105">
            <v>0</v>
          </cell>
          <cell r="G105">
            <v>0</v>
          </cell>
          <cell r="H105">
            <v>0</v>
          </cell>
          <cell r="I105">
            <v>24476907000</v>
          </cell>
          <cell r="J105">
            <v>10175137000</v>
          </cell>
          <cell r="K105">
            <v>34652044000</v>
          </cell>
          <cell r="AK105">
            <v>4972256</v>
          </cell>
          <cell r="AL105">
            <v>528640</v>
          </cell>
        </row>
        <row r="106">
          <cell r="B106">
            <v>43805</v>
          </cell>
          <cell r="I106">
            <v>3713075200</v>
          </cell>
          <cell r="J106">
            <v>0</v>
          </cell>
          <cell r="K106">
            <v>3713075200</v>
          </cell>
          <cell r="AK106">
            <v>445569</v>
          </cell>
          <cell r="AL106">
            <v>6205</v>
          </cell>
        </row>
        <row r="107">
          <cell r="B107">
            <v>43808</v>
          </cell>
          <cell r="I107">
            <v>4405094900</v>
          </cell>
          <cell r="J107">
            <v>4374000000</v>
          </cell>
          <cell r="K107">
            <v>8779094900</v>
          </cell>
          <cell r="L107">
            <v>6355000</v>
          </cell>
          <cell r="AK107">
            <v>1404682</v>
          </cell>
          <cell r="AL107">
            <v>150705</v>
          </cell>
        </row>
        <row r="108">
          <cell r="B108">
            <v>43809</v>
          </cell>
          <cell r="I108">
            <v>133874500</v>
          </cell>
          <cell r="J108">
            <v>0</v>
          </cell>
          <cell r="K108">
            <v>133874500</v>
          </cell>
          <cell r="AK108">
            <v>16065</v>
          </cell>
          <cell r="AL108">
            <v>4600</v>
          </cell>
        </row>
        <row r="109">
          <cell r="B109">
            <v>43810</v>
          </cell>
          <cell r="I109">
            <v>4650271600</v>
          </cell>
          <cell r="J109">
            <v>0</v>
          </cell>
          <cell r="K109">
            <v>4650271600</v>
          </cell>
          <cell r="L109">
            <v>25273000</v>
          </cell>
          <cell r="AK109">
            <v>563087</v>
          </cell>
          <cell r="AL109">
            <v>102795</v>
          </cell>
        </row>
        <row r="110">
          <cell r="B110">
            <v>43811</v>
          </cell>
          <cell r="I110">
            <v>312728900</v>
          </cell>
          <cell r="J110">
            <v>0</v>
          </cell>
          <cell r="K110">
            <v>312728900</v>
          </cell>
          <cell r="L110">
            <v>62475000</v>
          </cell>
          <cell r="AK110">
            <v>50022</v>
          </cell>
          <cell r="AL110">
            <v>10640</v>
          </cell>
        </row>
        <row r="111">
          <cell r="C111">
            <v>0</v>
          </cell>
          <cell r="D111">
            <v>0</v>
          </cell>
          <cell r="G111">
            <v>0</v>
          </cell>
          <cell r="H111">
            <v>0</v>
          </cell>
          <cell r="I111">
            <v>13215045100</v>
          </cell>
          <cell r="J111">
            <v>4374000000</v>
          </cell>
          <cell r="K111">
            <v>17589045100</v>
          </cell>
          <cell r="L111">
            <v>94103000</v>
          </cell>
          <cell r="AK111">
            <v>2479425</v>
          </cell>
          <cell r="AL111">
            <v>274945</v>
          </cell>
        </row>
        <row r="112">
          <cell r="B112">
            <v>43812</v>
          </cell>
          <cell r="C112">
            <v>3972778000</v>
          </cell>
          <cell r="D112">
            <v>0</v>
          </cell>
          <cell r="G112">
            <v>3972778000</v>
          </cell>
          <cell r="H112">
            <v>1191833</v>
          </cell>
          <cell r="I112">
            <v>12842862700</v>
          </cell>
          <cell r="J112">
            <v>0</v>
          </cell>
          <cell r="K112">
            <v>12842862700</v>
          </cell>
          <cell r="AK112">
            <v>1541144</v>
          </cell>
          <cell r="AL112">
            <v>435580</v>
          </cell>
        </row>
        <row r="113">
          <cell r="B113">
            <v>43815</v>
          </cell>
          <cell r="C113">
            <v>1969272500</v>
          </cell>
          <cell r="D113">
            <v>0</v>
          </cell>
          <cell r="G113">
            <v>1969272500</v>
          </cell>
          <cell r="H113">
            <v>590782</v>
          </cell>
          <cell r="I113">
            <v>8083400200</v>
          </cell>
          <cell r="J113">
            <v>0</v>
          </cell>
          <cell r="K113">
            <v>8083400200</v>
          </cell>
          <cell r="AK113">
            <v>970008</v>
          </cell>
          <cell r="AL113">
            <v>226110</v>
          </cell>
        </row>
        <row r="114">
          <cell r="B114">
            <v>43816</v>
          </cell>
          <cell r="C114">
            <v>2927304500</v>
          </cell>
          <cell r="D114">
            <v>0</v>
          </cell>
          <cell r="G114">
            <v>2927304500</v>
          </cell>
          <cell r="H114">
            <v>878191</v>
          </cell>
          <cell r="I114">
            <v>10251050600</v>
          </cell>
          <cell r="J114">
            <v>0</v>
          </cell>
          <cell r="K114">
            <v>10251050600</v>
          </cell>
          <cell r="AK114">
            <v>1230126</v>
          </cell>
          <cell r="AL114">
            <v>252665</v>
          </cell>
        </row>
        <row r="115">
          <cell r="B115">
            <v>43817</v>
          </cell>
          <cell r="C115">
            <v>1958368200</v>
          </cell>
          <cell r="D115">
            <v>0</v>
          </cell>
          <cell r="G115">
            <v>1958368200</v>
          </cell>
          <cell r="H115">
            <v>587510</v>
          </cell>
          <cell r="I115">
            <v>17367504200</v>
          </cell>
          <cell r="J115">
            <v>2877200000</v>
          </cell>
          <cell r="K115">
            <v>20244704200</v>
          </cell>
          <cell r="AK115">
            <v>2659541</v>
          </cell>
          <cell r="AL115">
            <v>402805</v>
          </cell>
        </row>
        <row r="116">
          <cell r="B116">
            <v>43818</v>
          </cell>
          <cell r="C116">
            <v>0</v>
          </cell>
          <cell r="D116">
            <v>1843087000</v>
          </cell>
          <cell r="G116">
            <v>1843087000</v>
          </cell>
          <cell r="H116">
            <v>552926</v>
          </cell>
          <cell r="I116">
            <v>9168622400</v>
          </cell>
          <cell r="J116">
            <v>0</v>
          </cell>
          <cell r="K116">
            <v>9168622400</v>
          </cell>
          <cell r="AK116">
            <v>1100235</v>
          </cell>
          <cell r="AL116">
            <v>69070</v>
          </cell>
        </row>
        <row r="117">
          <cell r="C117">
            <v>10827723200</v>
          </cell>
          <cell r="D117">
            <v>1843087000</v>
          </cell>
          <cell r="G117">
            <v>12670810200</v>
          </cell>
          <cell r="H117">
            <v>3801242</v>
          </cell>
          <cell r="I117">
            <v>57713440100</v>
          </cell>
          <cell r="J117">
            <v>2877200000</v>
          </cell>
          <cell r="K117">
            <v>60590640100</v>
          </cell>
          <cell r="AK117">
            <v>7501054</v>
          </cell>
          <cell r="AL117">
            <v>1386230</v>
          </cell>
        </row>
        <row r="118">
          <cell r="B118">
            <v>43819</v>
          </cell>
          <cell r="C118">
            <v>0</v>
          </cell>
          <cell r="D118">
            <v>929337000</v>
          </cell>
          <cell r="G118">
            <v>929337000</v>
          </cell>
          <cell r="H118">
            <v>278801</v>
          </cell>
          <cell r="I118">
            <v>4877025700</v>
          </cell>
          <cell r="J118">
            <v>0</v>
          </cell>
          <cell r="K118">
            <v>4877025700</v>
          </cell>
          <cell r="AK118">
            <v>585243</v>
          </cell>
          <cell r="AL118">
            <v>88995</v>
          </cell>
        </row>
        <row r="119">
          <cell r="B119">
            <v>43822</v>
          </cell>
          <cell r="C119">
            <v>0</v>
          </cell>
          <cell r="D119">
            <v>2349735500</v>
          </cell>
          <cell r="G119">
            <v>2349735500</v>
          </cell>
          <cell r="H119">
            <v>704921</v>
          </cell>
          <cell r="I119">
            <v>11575889100</v>
          </cell>
          <cell r="J119">
            <v>5790800000</v>
          </cell>
          <cell r="K119">
            <v>17366689100</v>
          </cell>
          <cell r="AK119">
            <v>2547267</v>
          </cell>
          <cell r="AL119">
            <v>300000</v>
          </cell>
        </row>
        <row r="120">
          <cell r="B120">
            <v>43823</v>
          </cell>
          <cell r="G120">
            <v>0</v>
          </cell>
          <cell r="H120">
            <v>0</v>
          </cell>
          <cell r="I120">
            <v>17532059700</v>
          </cell>
          <cell r="J120">
            <v>0</v>
          </cell>
          <cell r="K120">
            <v>17532059700</v>
          </cell>
          <cell r="AK120">
            <v>2103847</v>
          </cell>
          <cell r="AL120">
            <v>306265</v>
          </cell>
        </row>
        <row r="121">
          <cell r="B121">
            <v>43824</v>
          </cell>
          <cell r="G121">
            <v>0</v>
          </cell>
          <cell r="H121">
            <v>0</v>
          </cell>
          <cell r="I121">
            <v>13930400</v>
          </cell>
          <cell r="J121">
            <v>0</v>
          </cell>
          <cell r="K121">
            <v>13930400</v>
          </cell>
          <cell r="AK121">
            <v>1672</v>
          </cell>
          <cell r="AL121">
            <v>15</v>
          </cell>
        </row>
        <row r="122">
          <cell r="B122">
            <v>43825</v>
          </cell>
          <cell r="G122">
            <v>0</v>
          </cell>
          <cell r="H122">
            <v>0</v>
          </cell>
          <cell r="I122">
            <v>827467800</v>
          </cell>
          <cell r="J122">
            <v>0</v>
          </cell>
          <cell r="K122">
            <v>827467800</v>
          </cell>
          <cell r="AK122">
            <v>99296</v>
          </cell>
          <cell r="AL122">
            <v>27935</v>
          </cell>
        </row>
        <row r="123">
          <cell r="C123">
            <v>0</v>
          </cell>
          <cell r="D123">
            <v>3279072500</v>
          </cell>
          <cell r="G123">
            <v>3279072500</v>
          </cell>
          <cell r="H123">
            <v>983722</v>
          </cell>
          <cell r="I123">
            <v>34826372700</v>
          </cell>
          <cell r="J123">
            <v>5790800000</v>
          </cell>
          <cell r="K123">
            <v>40617172700</v>
          </cell>
          <cell r="AK123">
            <v>5337325</v>
          </cell>
          <cell r="AL123">
            <v>723210</v>
          </cell>
        </row>
        <row r="124">
          <cell r="B124">
            <v>43826</v>
          </cell>
          <cell r="I124">
            <v>5084977400</v>
          </cell>
          <cell r="J124">
            <v>0</v>
          </cell>
          <cell r="K124">
            <v>5084977400</v>
          </cell>
          <cell r="AK124">
            <v>610197</v>
          </cell>
          <cell r="AL124">
            <v>157705</v>
          </cell>
        </row>
        <row r="125">
          <cell r="B125">
            <v>43829</v>
          </cell>
          <cell r="G125">
            <v>0</v>
          </cell>
          <cell r="H125">
            <v>0</v>
          </cell>
          <cell r="I125">
            <v>5707140700</v>
          </cell>
          <cell r="J125">
            <v>0</v>
          </cell>
          <cell r="K125">
            <v>5707140700</v>
          </cell>
          <cell r="AK125">
            <v>684857</v>
          </cell>
          <cell r="AL125">
            <v>184500</v>
          </cell>
        </row>
        <row r="126">
          <cell r="B126">
            <v>43830</v>
          </cell>
          <cell r="G126">
            <v>0</v>
          </cell>
          <cell r="H126">
            <v>0</v>
          </cell>
          <cell r="I126">
            <v>3303525300</v>
          </cell>
          <cell r="J126">
            <v>0</v>
          </cell>
          <cell r="K126">
            <v>3303525300</v>
          </cell>
          <cell r="AK126">
            <v>396423</v>
          </cell>
          <cell r="AL126">
            <v>12860</v>
          </cell>
        </row>
        <row r="127">
          <cell r="B127">
            <v>43831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AK127">
            <v>0</v>
          </cell>
          <cell r="AL127">
            <v>0</v>
          </cell>
        </row>
        <row r="128">
          <cell r="B128">
            <v>43832</v>
          </cell>
          <cell r="C128">
            <v>4930135500</v>
          </cell>
          <cell r="D128">
            <v>0</v>
          </cell>
          <cell r="G128">
            <v>4930135500</v>
          </cell>
          <cell r="H128">
            <v>1479041</v>
          </cell>
          <cell r="I128">
            <v>5742767200</v>
          </cell>
          <cell r="J128">
            <v>8835000000</v>
          </cell>
          <cell r="K128">
            <v>14577767200</v>
          </cell>
          <cell r="AK128">
            <v>2456132</v>
          </cell>
          <cell r="AL128">
            <v>394885</v>
          </cell>
        </row>
        <row r="129">
          <cell r="C129">
            <v>4930135500</v>
          </cell>
          <cell r="D129">
            <v>0</v>
          </cell>
          <cell r="G129">
            <v>4930135500</v>
          </cell>
          <cell r="H129">
            <v>1479041</v>
          </cell>
          <cell r="I129">
            <v>19838410600</v>
          </cell>
          <cell r="J129">
            <v>8835000000</v>
          </cell>
          <cell r="K129">
            <v>28673410600</v>
          </cell>
          <cell r="AK129">
            <v>4147609</v>
          </cell>
          <cell r="AL129">
            <v>749950</v>
          </cell>
        </row>
        <row r="130">
          <cell r="B130">
            <v>43833</v>
          </cell>
          <cell r="C130">
            <v>3961855500</v>
          </cell>
          <cell r="D130">
            <v>0</v>
          </cell>
          <cell r="G130">
            <v>3961855500</v>
          </cell>
          <cell r="H130">
            <v>1188557</v>
          </cell>
          <cell r="I130">
            <v>5218168000</v>
          </cell>
          <cell r="J130">
            <v>0</v>
          </cell>
          <cell r="K130">
            <v>5218168000</v>
          </cell>
          <cell r="AK130">
            <v>626180</v>
          </cell>
          <cell r="AL130">
            <v>176695</v>
          </cell>
        </row>
        <row r="131">
          <cell r="B131">
            <v>43836</v>
          </cell>
          <cell r="C131">
            <v>4903978500</v>
          </cell>
          <cell r="D131">
            <v>0</v>
          </cell>
          <cell r="G131">
            <v>4903978500</v>
          </cell>
          <cell r="H131">
            <v>1471194</v>
          </cell>
          <cell r="I131">
            <v>9016097000</v>
          </cell>
          <cell r="J131">
            <v>0</v>
          </cell>
          <cell r="K131">
            <v>9016097000</v>
          </cell>
          <cell r="AK131">
            <v>1081932</v>
          </cell>
          <cell r="AL131">
            <v>208540</v>
          </cell>
        </row>
        <row r="132">
          <cell r="B132">
            <v>43837</v>
          </cell>
          <cell r="C132">
            <v>0</v>
          </cell>
          <cell r="D132">
            <v>2380730500</v>
          </cell>
          <cell r="G132">
            <v>2380730500</v>
          </cell>
          <cell r="H132">
            <v>714219</v>
          </cell>
          <cell r="I132">
            <v>9154581500</v>
          </cell>
          <cell r="J132">
            <v>0</v>
          </cell>
          <cell r="K132">
            <v>9154581500</v>
          </cell>
          <cell r="AK132">
            <v>1098550</v>
          </cell>
          <cell r="AL132">
            <v>214240</v>
          </cell>
        </row>
        <row r="133">
          <cell r="B133">
            <v>43838</v>
          </cell>
          <cell r="C133">
            <v>2895317300</v>
          </cell>
          <cell r="D133">
            <v>1891360000</v>
          </cell>
          <cell r="G133">
            <v>4786677300</v>
          </cell>
          <cell r="H133">
            <v>1436003</v>
          </cell>
          <cell r="I133">
            <v>8406443600</v>
          </cell>
          <cell r="J133">
            <v>7230000000</v>
          </cell>
          <cell r="K133">
            <v>15636443600</v>
          </cell>
          <cell r="AK133">
            <v>2454773</v>
          </cell>
          <cell r="AL133">
            <v>273250</v>
          </cell>
        </row>
        <row r="134">
          <cell r="B134">
            <v>43839</v>
          </cell>
          <cell r="C134">
            <v>0</v>
          </cell>
          <cell r="D134">
            <v>2370795500</v>
          </cell>
          <cell r="G134">
            <v>2370795500</v>
          </cell>
          <cell r="H134">
            <v>711239</v>
          </cell>
          <cell r="I134">
            <v>406452600</v>
          </cell>
          <cell r="J134">
            <v>0</v>
          </cell>
          <cell r="K134">
            <v>406452600</v>
          </cell>
          <cell r="AK134">
            <v>48774</v>
          </cell>
          <cell r="AL134">
            <v>13930</v>
          </cell>
        </row>
        <row r="135">
          <cell r="C135">
            <v>11761151300</v>
          </cell>
          <cell r="D135">
            <v>6642886000</v>
          </cell>
          <cell r="G135">
            <v>18404037300</v>
          </cell>
          <cell r="H135">
            <v>5521212</v>
          </cell>
          <cell r="I135">
            <v>32201742700</v>
          </cell>
          <cell r="J135">
            <v>7230000000</v>
          </cell>
          <cell r="K135">
            <v>39431742700</v>
          </cell>
          <cell r="AK135">
            <v>5310209</v>
          </cell>
          <cell r="AL135">
            <v>886655</v>
          </cell>
        </row>
        <row r="136">
          <cell r="B136">
            <v>43840</v>
          </cell>
          <cell r="G136">
            <v>0</v>
          </cell>
          <cell r="H136">
            <v>0</v>
          </cell>
          <cell r="I136">
            <v>4796848200</v>
          </cell>
          <cell r="J136">
            <v>0</v>
          </cell>
          <cell r="K136">
            <v>4796848200</v>
          </cell>
          <cell r="AK136">
            <v>575622</v>
          </cell>
          <cell r="AL136">
            <v>162900</v>
          </cell>
        </row>
        <row r="137">
          <cell r="B137">
            <v>43843</v>
          </cell>
          <cell r="C137">
            <v>0</v>
          </cell>
          <cell r="D137">
            <v>1442547000</v>
          </cell>
          <cell r="G137">
            <v>1442547000</v>
          </cell>
          <cell r="H137">
            <v>432764</v>
          </cell>
          <cell r="I137">
            <v>3752293600</v>
          </cell>
          <cell r="J137">
            <v>0</v>
          </cell>
          <cell r="K137">
            <v>3752293600</v>
          </cell>
          <cell r="AK137">
            <v>450275</v>
          </cell>
          <cell r="AL137">
            <v>118805</v>
          </cell>
        </row>
        <row r="138">
          <cell r="B138">
            <v>43844</v>
          </cell>
          <cell r="C138">
            <v>5936597000</v>
          </cell>
          <cell r="D138">
            <v>0</v>
          </cell>
          <cell r="G138">
            <v>5936597000</v>
          </cell>
          <cell r="H138">
            <v>1780979</v>
          </cell>
          <cell r="I138">
            <v>5359592400</v>
          </cell>
          <cell r="J138">
            <v>0</v>
          </cell>
          <cell r="K138">
            <v>5359592400</v>
          </cell>
          <cell r="AK138">
            <v>643151</v>
          </cell>
          <cell r="AL138">
            <v>165290</v>
          </cell>
        </row>
        <row r="139">
          <cell r="B139">
            <v>43845</v>
          </cell>
          <cell r="C139">
            <v>2966695500</v>
          </cell>
          <cell r="D139">
            <v>0</v>
          </cell>
          <cell r="G139">
            <v>2966695500</v>
          </cell>
          <cell r="H139">
            <v>890009</v>
          </cell>
          <cell r="I139">
            <v>5025556000</v>
          </cell>
          <cell r="J139">
            <v>0</v>
          </cell>
          <cell r="K139">
            <v>5025556000</v>
          </cell>
          <cell r="AK139">
            <v>603067</v>
          </cell>
          <cell r="AL139">
            <v>170680</v>
          </cell>
        </row>
        <row r="140">
          <cell r="B140">
            <v>43846</v>
          </cell>
          <cell r="C140">
            <v>4961625500</v>
          </cell>
          <cell r="D140">
            <v>0</v>
          </cell>
          <cell r="G140">
            <v>4961625500</v>
          </cell>
          <cell r="H140">
            <v>1488488</v>
          </cell>
          <cell r="I140">
            <v>3037385600</v>
          </cell>
          <cell r="J140">
            <v>0</v>
          </cell>
          <cell r="K140">
            <v>3037385600</v>
          </cell>
          <cell r="AK140">
            <v>364486</v>
          </cell>
          <cell r="AL140">
            <v>102415</v>
          </cell>
        </row>
        <row r="141">
          <cell r="C141">
            <v>13864918000</v>
          </cell>
          <cell r="D141">
            <v>1442547000</v>
          </cell>
          <cell r="G141">
            <v>15307465000</v>
          </cell>
          <cell r="H141">
            <v>4592240</v>
          </cell>
          <cell r="I141">
            <v>21971675800</v>
          </cell>
          <cell r="J141">
            <v>0</v>
          </cell>
          <cell r="K141">
            <v>21971675800</v>
          </cell>
          <cell r="AK141">
            <v>2636601</v>
          </cell>
          <cell r="AL141">
            <v>720090</v>
          </cell>
        </row>
        <row r="142">
          <cell r="B142">
            <v>43847</v>
          </cell>
          <cell r="C142">
            <v>177000</v>
          </cell>
          <cell r="G142">
            <v>177000</v>
          </cell>
          <cell r="H142">
            <v>53</v>
          </cell>
          <cell r="I142">
            <v>3308984400</v>
          </cell>
          <cell r="J142">
            <v>0</v>
          </cell>
          <cell r="K142">
            <v>3308984400</v>
          </cell>
          <cell r="AK142">
            <v>397078</v>
          </cell>
          <cell r="AL142">
            <v>111190</v>
          </cell>
        </row>
        <row r="143">
          <cell r="B143">
            <v>43850</v>
          </cell>
          <cell r="C143">
            <v>0</v>
          </cell>
          <cell r="D143">
            <v>4415851000</v>
          </cell>
          <cell r="G143">
            <v>4415851000</v>
          </cell>
          <cell r="H143">
            <v>1324755</v>
          </cell>
          <cell r="I143">
            <v>2857920000</v>
          </cell>
          <cell r="J143">
            <v>0</v>
          </cell>
          <cell r="K143">
            <v>2857920000</v>
          </cell>
          <cell r="AK143">
            <v>342950</v>
          </cell>
          <cell r="AL143">
            <v>14005</v>
          </cell>
        </row>
        <row r="144">
          <cell r="B144">
            <v>43851</v>
          </cell>
          <cell r="C144">
            <v>3012385500</v>
          </cell>
          <cell r="D144">
            <v>2496385000</v>
          </cell>
          <cell r="G144">
            <v>5508770500</v>
          </cell>
          <cell r="H144">
            <v>1652631</v>
          </cell>
          <cell r="I144">
            <v>11082093400</v>
          </cell>
          <cell r="J144">
            <v>0</v>
          </cell>
          <cell r="K144">
            <v>11082093400</v>
          </cell>
          <cell r="AK144">
            <v>1329851</v>
          </cell>
          <cell r="AL144">
            <v>368865</v>
          </cell>
        </row>
        <row r="145">
          <cell r="B145">
            <v>43852</v>
          </cell>
          <cell r="C145">
            <v>4003259000</v>
          </cell>
          <cell r="D145">
            <v>0</v>
          </cell>
          <cell r="G145">
            <v>4003259000</v>
          </cell>
          <cell r="H145">
            <v>1200978</v>
          </cell>
          <cell r="I145">
            <v>3136638900</v>
          </cell>
          <cell r="J145">
            <v>0</v>
          </cell>
          <cell r="K145">
            <v>3136638900</v>
          </cell>
          <cell r="AK145">
            <v>376397</v>
          </cell>
          <cell r="AL145">
            <v>103730</v>
          </cell>
        </row>
        <row r="146">
          <cell r="B146">
            <v>43860</v>
          </cell>
          <cell r="G146">
            <v>0</v>
          </cell>
          <cell r="H146">
            <v>0</v>
          </cell>
          <cell r="I146">
            <v>17443073600</v>
          </cell>
          <cell r="J146">
            <v>0</v>
          </cell>
          <cell r="K146">
            <v>17443073600</v>
          </cell>
          <cell r="AK146">
            <v>2093169</v>
          </cell>
          <cell r="AL146">
            <v>167240</v>
          </cell>
        </row>
        <row r="147">
          <cell r="C147">
            <v>7015821500</v>
          </cell>
          <cell r="D147">
            <v>6912236000</v>
          </cell>
          <cell r="G147">
            <v>13928057500</v>
          </cell>
          <cell r="H147">
            <v>4178417</v>
          </cell>
          <cell r="I147">
            <v>37828710300</v>
          </cell>
          <cell r="J147">
            <v>0</v>
          </cell>
          <cell r="K147">
            <v>37828710300</v>
          </cell>
          <cell r="AK147">
            <v>4539445</v>
          </cell>
          <cell r="AL147">
            <v>765030</v>
          </cell>
        </row>
        <row r="148">
          <cell r="B148">
            <v>43861</v>
          </cell>
          <cell r="C148">
            <v>968060000</v>
          </cell>
          <cell r="D148">
            <v>1446196500</v>
          </cell>
          <cell r="G148">
            <v>2414256500</v>
          </cell>
          <cell r="H148">
            <v>724277</v>
          </cell>
          <cell r="I148">
            <v>18253110200</v>
          </cell>
          <cell r="J148">
            <v>2823200000</v>
          </cell>
          <cell r="K148">
            <v>21076310200</v>
          </cell>
          <cell r="AK148">
            <v>2755013</v>
          </cell>
          <cell r="AL148">
            <v>309305</v>
          </cell>
        </row>
        <row r="149">
          <cell r="B149">
            <v>43864</v>
          </cell>
          <cell r="C149">
            <v>181389000</v>
          </cell>
          <cell r="D149">
            <v>0</v>
          </cell>
          <cell r="G149">
            <v>181389000</v>
          </cell>
          <cell r="H149">
            <v>54417</v>
          </cell>
          <cell r="I149">
            <v>18301351500</v>
          </cell>
          <cell r="J149">
            <v>2713365000</v>
          </cell>
          <cell r="K149">
            <v>21014716500</v>
          </cell>
          <cell r="AK149">
            <v>2738835</v>
          </cell>
          <cell r="AL149">
            <v>237965</v>
          </cell>
        </row>
        <row r="150">
          <cell r="B150">
            <v>43865</v>
          </cell>
          <cell r="C150">
            <v>6488682600</v>
          </cell>
          <cell r="D150">
            <v>0</v>
          </cell>
          <cell r="G150">
            <v>6488682600</v>
          </cell>
          <cell r="H150">
            <v>1946605</v>
          </cell>
          <cell r="I150">
            <v>7628981700</v>
          </cell>
          <cell r="J150">
            <v>1366500000</v>
          </cell>
          <cell r="K150">
            <v>8995481700</v>
          </cell>
          <cell r="AK150">
            <v>1188778</v>
          </cell>
          <cell r="AL150">
            <v>320800</v>
          </cell>
        </row>
        <row r="151">
          <cell r="B151">
            <v>43866</v>
          </cell>
          <cell r="C151">
            <v>4610926900</v>
          </cell>
          <cell r="D151">
            <v>0</v>
          </cell>
          <cell r="G151">
            <v>4610926900</v>
          </cell>
          <cell r="H151">
            <v>1383278</v>
          </cell>
          <cell r="I151">
            <v>11797938500</v>
          </cell>
          <cell r="J151">
            <v>0</v>
          </cell>
          <cell r="K151">
            <v>11797938500</v>
          </cell>
          <cell r="AK151">
            <v>1415753</v>
          </cell>
          <cell r="AL151">
            <v>416705</v>
          </cell>
        </row>
        <row r="152">
          <cell r="B152">
            <v>43867</v>
          </cell>
          <cell r="C152">
            <v>10251845000</v>
          </cell>
          <cell r="D152">
            <v>2264489500</v>
          </cell>
          <cell r="G152">
            <v>12516334500</v>
          </cell>
          <cell r="H152">
            <v>3754900</v>
          </cell>
          <cell r="I152">
            <v>7179746500</v>
          </cell>
          <cell r="J152">
            <v>0</v>
          </cell>
          <cell r="K152">
            <v>7179746500</v>
          </cell>
          <cell r="AK152">
            <v>861570</v>
          </cell>
          <cell r="AL152">
            <v>253490</v>
          </cell>
        </row>
        <row r="153">
          <cell r="C153">
            <v>22500903500</v>
          </cell>
          <cell r="D153">
            <v>3710686000</v>
          </cell>
          <cell r="G153">
            <v>26211589500</v>
          </cell>
          <cell r="H153">
            <v>7863477</v>
          </cell>
          <cell r="I153">
            <v>63161128400</v>
          </cell>
          <cell r="J153">
            <v>6903065000</v>
          </cell>
          <cell r="K153">
            <v>70064193400</v>
          </cell>
          <cell r="AK153">
            <v>8959949</v>
          </cell>
          <cell r="AL153">
            <v>1538265</v>
          </cell>
        </row>
        <row r="154">
          <cell r="B154">
            <v>43868</v>
          </cell>
          <cell r="G154">
            <v>0</v>
          </cell>
          <cell r="H154">
            <v>0</v>
          </cell>
          <cell r="I154">
            <v>16975464800</v>
          </cell>
          <cell r="J154">
            <v>0</v>
          </cell>
          <cell r="K154">
            <v>16975464800</v>
          </cell>
          <cell r="AK154">
            <v>2037056</v>
          </cell>
          <cell r="AL154">
            <v>591245</v>
          </cell>
        </row>
        <row r="155">
          <cell r="B155">
            <v>43871</v>
          </cell>
          <cell r="C155">
            <v>0</v>
          </cell>
          <cell r="D155">
            <v>5477161500</v>
          </cell>
          <cell r="G155">
            <v>5477161500</v>
          </cell>
          <cell r="H155">
            <v>1643148</v>
          </cell>
          <cell r="I155">
            <v>10119878100</v>
          </cell>
          <cell r="J155">
            <v>0</v>
          </cell>
          <cell r="K155">
            <v>10119878100</v>
          </cell>
          <cell r="AK155">
            <v>1214385</v>
          </cell>
          <cell r="AL155">
            <v>351930</v>
          </cell>
        </row>
        <row r="156">
          <cell r="B156">
            <v>43872</v>
          </cell>
          <cell r="C156">
            <v>9743833900</v>
          </cell>
          <cell r="G156">
            <v>9743833900</v>
          </cell>
          <cell r="H156">
            <v>2923150</v>
          </cell>
          <cell r="I156">
            <v>8416033100</v>
          </cell>
          <cell r="J156">
            <v>0</v>
          </cell>
          <cell r="K156">
            <v>8416033100</v>
          </cell>
          <cell r="AK156">
            <v>1009924</v>
          </cell>
          <cell r="AL156">
            <v>295025</v>
          </cell>
        </row>
        <row r="157">
          <cell r="B157">
            <v>43873</v>
          </cell>
          <cell r="C157">
            <v>6930403400</v>
          </cell>
          <cell r="D157">
            <v>1410304500</v>
          </cell>
          <cell r="G157">
            <v>8340707900</v>
          </cell>
          <cell r="H157">
            <v>2502212</v>
          </cell>
          <cell r="I157">
            <v>9133647300</v>
          </cell>
          <cell r="J157">
            <v>0</v>
          </cell>
          <cell r="K157">
            <v>9133647300</v>
          </cell>
          <cell r="AK157">
            <v>1096038</v>
          </cell>
          <cell r="AL157">
            <v>317380</v>
          </cell>
        </row>
        <row r="158">
          <cell r="B158">
            <v>43874</v>
          </cell>
          <cell r="C158">
            <v>897041500</v>
          </cell>
          <cell r="D158">
            <v>3753236500</v>
          </cell>
          <cell r="G158">
            <v>4650278000</v>
          </cell>
          <cell r="H158">
            <v>1395083</v>
          </cell>
          <cell r="I158">
            <v>3112737000</v>
          </cell>
          <cell r="J158">
            <v>0</v>
          </cell>
          <cell r="K158">
            <v>3112737000</v>
          </cell>
          <cell r="AK158">
            <v>373528</v>
          </cell>
          <cell r="AL158">
            <v>108550</v>
          </cell>
        </row>
        <row r="159">
          <cell r="C159">
            <v>17571278800</v>
          </cell>
          <cell r="D159">
            <v>10640702500</v>
          </cell>
          <cell r="G159">
            <v>28211981300</v>
          </cell>
          <cell r="H159">
            <v>8463593</v>
          </cell>
          <cell r="I159">
            <v>47757760300</v>
          </cell>
          <cell r="J159">
            <v>0</v>
          </cell>
          <cell r="K159">
            <v>47757760300</v>
          </cell>
          <cell r="AK159">
            <v>5730931</v>
          </cell>
          <cell r="AL159">
            <v>1664130</v>
          </cell>
        </row>
        <row r="160">
          <cell r="B160">
            <v>43875</v>
          </cell>
          <cell r="C160">
            <v>3591129000</v>
          </cell>
          <cell r="D160">
            <v>0</v>
          </cell>
          <cell r="G160">
            <v>3591129000</v>
          </cell>
          <cell r="H160">
            <v>1077339</v>
          </cell>
          <cell r="I160">
            <v>3643078000</v>
          </cell>
          <cell r="J160">
            <v>0</v>
          </cell>
          <cell r="K160">
            <v>3643078000</v>
          </cell>
          <cell r="AK160">
            <v>437169</v>
          </cell>
          <cell r="AL160">
            <v>126425</v>
          </cell>
        </row>
        <row r="161">
          <cell r="B161">
            <v>43878</v>
          </cell>
          <cell r="C161">
            <v>3524183000</v>
          </cell>
          <cell r="D161">
            <v>1915339500</v>
          </cell>
          <cell r="G161">
            <v>5439522500</v>
          </cell>
          <cell r="H161">
            <v>1631857</v>
          </cell>
          <cell r="I161">
            <v>4254827500</v>
          </cell>
          <cell r="J161">
            <v>0</v>
          </cell>
          <cell r="K161">
            <v>4254827500</v>
          </cell>
          <cell r="AK161">
            <v>510579</v>
          </cell>
          <cell r="AL161">
            <v>147865</v>
          </cell>
        </row>
        <row r="162">
          <cell r="B162">
            <v>43879</v>
          </cell>
          <cell r="C162">
            <v>11404410500</v>
          </cell>
          <cell r="D162">
            <v>6274810500</v>
          </cell>
          <cell r="G162">
            <v>17679221000</v>
          </cell>
          <cell r="H162">
            <v>5303766</v>
          </cell>
          <cell r="I162">
            <v>6163269500</v>
          </cell>
          <cell r="J162">
            <v>0</v>
          </cell>
          <cell r="K162">
            <v>6163269500</v>
          </cell>
          <cell r="AK162">
            <v>739592</v>
          </cell>
          <cell r="AL162">
            <v>153930</v>
          </cell>
        </row>
        <row r="163">
          <cell r="B163">
            <v>43880</v>
          </cell>
          <cell r="C163">
            <v>45552000</v>
          </cell>
          <cell r="D163">
            <v>0</v>
          </cell>
          <cell r="G163">
            <v>45552000</v>
          </cell>
          <cell r="H163">
            <v>13666</v>
          </cell>
          <cell r="I163">
            <v>2645877400</v>
          </cell>
          <cell r="J163">
            <v>0</v>
          </cell>
          <cell r="K163">
            <v>2645877400</v>
          </cell>
          <cell r="AK163">
            <v>317505</v>
          </cell>
          <cell r="AL163">
            <v>91535</v>
          </cell>
        </row>
        <row r="164">
          <cell r="B164">
            <v>43881</v>
          </cell>
          <cell r="C164">
            <v>0</v>
          </cell>
          <cell r="D164">
            <v>4560849500</v>
          </cell>
          <cell r="G164">
            <v>4560849500</v>
          </cell>
          <cell r="H164">
            <v>1368255</v>
          </cell>
          <cell r="I164">
            <v>1589803200</v>
          </cell>
          <cell r="J164">
            <v>10085100000</v>
          </cell>
          <cell r="K164">
            <v>11674903200</v>
          </cell>
          <cell r="AK164">
            <v>2207796</v>
          </cell>
          <cell r="AL164">
            <v>5</v>
          </cell>
        </row>
        <row r="165">
          <cell r="C165">
            <v>18565274500</v>
          </cell>
          <cell r="D165">
            <v>12750999500</v>
          </cell>
          <cell r="G165">
            <v>31316274000</v>
          </cell>
          <cell r="H165">
            <v>9394883</v>
          </cell>
          <cell r="I165">
            <v>18296855600</v>
          </cell>
          <cell r="J165">
            <v>10085100000</v>
          </cell>
          <cell r="K165">
            <v>28381955600</v>
          </cell>
          <cell r="L165">
            <v>0</v>
          </cell>
          <cell r="AK165">
            <v>4212641</v>
          </cell>
          <cell r="AL165">
            <v>519760</v>
          </cell>
        </row>
        <row r="166">
          <cell r="B166">
            <v>43882</v>
          </cell>
          <cell r="C166">
            <v>81261000</v>
          </cell>
          <cell r="D166">
            <v>2015265000</v>
          </cell>
          <cell r="G166">
            <v>2096526000</v>
          </cell>
          <cell r="H166">
            <v>628958</v>
          </cell>
          <cell r="I166">
            <v>20896981400</v>
          </cell>
          <cell r="J166">
            <v>4352400000</v>
          </cell>
          <cell r="K166">
            <v>25249381400</v>
          </cell>
          <cell r="AK166">
            <v>3378118</v>
          </cell>
          <cell r="AL166">
            <v>500000</v>
          </cell>
        </row>
        <row r="167">
          <cell r="B167">
            <v>43885</v>
          </cell>
          <cell r="C167">
            <v>0</v>
          </cell>
          <cell r="D167">
            <v>0</v>
          </cell>
          <cell r="G167">
            <v>0</v>
          </cell>
          <cell r="H167">
            <v>0</v>
          </cell>
          <cell r="I167">
            <v>6114985300</v>
          </cell>
          <cell r="J167">
            <v>0</v>
          </cell>
          <cell r="K167">
            <v>6114985300</v>
          </cell>
          <cell r="AK167">
            <v>733798</v>
          </cell>
          <cell r="AL167">
            <v>130990</v>
          </cell>
        </row>
        <row r="168">
          <cell r="B168">
            <v>43886</v>
          </cell>
          <cell r="C168">
            <v>0</v>
          </cell>
          <cell r="D168">
            <v>0</v>
          </cell>
          <cell r="G168">
            <v>0</v>
          </cell>
          <cell r="H168">
            <v>0</v>
          </cell>
          <cell r="I168">
            <v>10591097800</v>
          </cell>
          <cell r="J168">
            <v>4158000000</v>
          </cell>
          <cell r="K168">
            <v>14749097800</v>
          </cell>
          <cell r="AK168">
            <v>2102532</v>
          </cell>
          <cell r="AL168">
            <v>313325</v>
          </cell>
        </row>
        <row r="169">
          <cell r="B169">
            <v>43887</v>
          </cell>
          <cell r="C169">
            <v>0</v>
          </cell>
          <cell r="D169">
            <v>0</v>
          </cell>
          <cell r="G169">
            <v>0</v>
          </cell>
          <cell r="H169">
            <v>0</v>
          </cell>
          <cell r="I169">
            <v>5749853100</v>
          </cell>
          <cell r="J169">
            <v>4195200000</v>
          </cell>
          <cell r="K169">
            <v>9945053100</v>
          </cell>
          <cell r="AK169">
            <v>1529022</v>
          </cell>
          <cell r="AL169">
            <v>205585</v>
          </cell>
        </row>
        <row r="170">
          <cell r="B170">
            <v>43888</v>
          </cell>
          <cell r="C170">
            <v>0</v>
          </cell>
          <cell r="D170">
            <v>0</v>
          </cell>
          <cell r="G170">
            <v>0</v>
          </cell>
          <cell r="H170">
            <v>0</v>
          </cell>
          <cell r="I170">
            <v>13109678700</v>
          </cell>
          <cell r="J170">
            <v>4228200000</v>
          </cell>
          <cell r="K170">
            <v>17337878700</v>
          </cell>
          <cell r="AK170">
            <v>2418801</v>
          </cell>
          <cell r="AL170">
            <v>295010</v>
          </cell>
        </row>
        <row r="171">
          <cell r="C171">
            <v>81261000</v>
          </cell>
          <cell r="D171">
            <v>2015265000</v>
          </cell>
          <cell r="G171">
            <v>2096526000</v>
          </cell>
          <cell r="H171">
            <v>628958</v>
          </cell>
          <cell r="I171">
            <v>56462596300</v>
          </cell>
          <cell r="J171">
            <v>16933800000</v>
          </cell>
          <cell r="K171">
            <v>73396396300</v>
          </cell>
          <cell r="L171">
            <v>0</v>
          </cell>
          <cell r="AK171">
            <v>10162271</v>
          </cell>
          <cell r="AL171">
            <v>1444910</v>
          </cell>
        </row>
        <row r="172">
          <cell r="B172">
            <v>43889</v>
          </cell>
          <cell r="C172">
            <v>0</v>
          </cell>
          <cell r="D172">
            <v>4396366500</v>
          </cell>
          <cell r="G172">
            <v>4396366500</v>
          </cell>
          <cell r="H172">
            <v>1318910</v>
          </cell>
          <cell r="I172">
            <v>10285933900</v>
          </cell>
          <cell r="J172">
            <v>0</v>
          </cell>
          <cell r="K172">
            <v>10285933900</v>
          </cell>
          <cell r="AK172">
            <v>1234312</v>
          </cell>
          <cell r="AL172">
            <v>122585</v>
          </cell>
        </row>
        <row r="173">
          <cell r="B173">
            <v>43892</v>
          </cell>
          <cell r="C173">
            <v>0</v>
          </cell>
          <cell r="D173">
            <v>0</v>
          </cell>
          <cell r="G173">
            <v>0</v>
          </cell>
          <cell r="H173">
            <v>0</v>
          </cell>
          <cell r="I173">
            <v>13924675700</v>
          </cell>
          <cell r="J173">
            <v>4170900000</v>
          </cell>
          <cell r="K173">
            <v>18095575700</v>
          </cell>
          <cell r="AK173">
            <v>2505141</v>
          </cell>
          <cell r="AL173">
            <v>75295</v>
          </cell>
        </row>
        <row r="174">
          <cell r="B174">
            <v>43893</v>
          </cell>
          <cell r="C174">
            <v>0</v>
          </cell>
          <cell r="D174">
            <v>0</v>
          </cell>
          <cell r="G174">
            <v>0</v>
          </cell>
          <cell r="H174">
            <v>0</v>
          </cell>
          <cell r="I174">
            <v>1705545100</v>
          </cell>
          <cell r="J174">
            <v>0</v>
          </cell>
          <cell r="K174">
            <v>1705545100</v>
          </cell>
          <cell r="AK174">
            <v>204665</v>
          </cell>
          <cell r="AL174">
            <v>60945</v>
          </cell>
        </row>
        <row r="175">
          <cell r="B175">
            <v>43894</v>
          </cell>
          <cell r="C175">
            <v>0</v>
          </cell>
          <cell r="D175">
            <v>0</v>
          </cell>
          <cell r="G175">
            <v>0</v>
          </cell>
          <cell r="H175">
            <v>0</v>
          </cell>
          <cell r="I175">
            <v>11293065200</v>
          </cell>
          <cell r="K175">
            <v>11293065200</v>
          </cell>
          <cell r="AK175">
            <v>1355168</v>
          </cell>
          <cell r="AL175">
            <v>168355</v>
          </cell>
        </row>
        <row r="176">
          <cell r="B176">
            <v>43895</v>
          </cell>
          <cell r="C176">
            <v>0</v>
          </cell>
          <cell r="D176">
            <v>0</v>
          </cell>
          <cell r="G176">
            <v>0</v>
          </cell>
          <cell r="H176">
            <v>0</v>
          </cell>
          <cell r="I176">
            <v>5288927400</v>
          </cell>
          <cell r="K176">
            <v>5288927400</v>
          </cell>
          <cell r="AK176">
            <v>634671</v>
          </cell>
          <cell r="AL176">
            <v>183650</v>
          </cell>
        </row>
        <row r="177">
          <cell r="C177">
            <v>0</v>
          </cell>
          <cell r="D177">
            <v>4396366500</v>
          </cell>
          <cell r="G177">
            <v>4396366500</v>
          </cell>
          <cell r="H177">
            <v>1318910</v>
          </cell>
          <cell r="I177">
            <v>42498147300</v>
          </cell>
          <cell r="J177">
            <v>4170900000</v>
          </cell>
          <cell r="K177">
            <v>46669047300</v>
          </cell>
          <cell r="L177">
            <v>0</v>
          </cell>
          <cell r="AK177">
            <v>5933957</v>
          </cell>
          <cell r="AL177">
            <v>610830</v>
          </cell>
        </row>
        <row r="178">
          <cell r="B178">
            <v>43896</v>
          </cell>
          <cell r="C178">
            <v>0</v>
          </cell>
          <cell r="D178">
            <v>0</v>
          </cell>
          <cell r="G178">
            <v>0</v>
          </cell>
          <cell r="H178">
            <v>0</v>
          </cell>
          <cell r="I178">
            <v>12425568400</v>
          </cell>
          <cell r="J178">
            <v>2761600000</v>
          </cell>
          <cell r="K178">
            <v>15187168400</v>
          </cell>
          <cell r="AK178">
            <v>2043388</v>
          </cell>
          <cell r="AL178">
            <v>402025</v>
          </cell>
        </row>
        <row r="179">
          <cell r="B179">
            <v>43899</v>
          </cell>
          <cell r="C179">
            <v>0</v>
          </cell>
          <cell r="D179">
            <v>0</v>
          </cell>
          <cell r="G179">
            <v>0</v>
          </cell>
          <cell r="H179">
            <v>0</v>
          </cell>
          <cell r="I179">
            <v>5971315400</v>
          </cell>
          <cell r="J179">
            <v>3909600000</v>
          </cell>
          <cell r="K179">
            <v>9880915400</v>
          </cell>
          <cell r="AK179">
            <v>1498478</v>
          </cell>
          <cell r="AL179">
            <v>283955</v>
          </cell>
        </row>
        <row r="180">
          <cell r="B180">
            <v>43900</v>
          </cell>
          <cell r="C180">
            <v>0</v>
          </cell>
          <cell r="D180">
            <v>0</v>
          </cell>
          <cell r="G180">
            <v>0</v>
          </cell>
          <cell r="H180">
            <v>0</v>
          </cell>
          <cell r="I180">
            <v>26074677100</v>
          </cell>
          <cell r="J180">
            <v>29755500000</v>
          </cell>
          <cell r="K180">
            <v>55830177100</v>
          </cell>
          <cell r="AK180">
            <v>9080061</v>
          </cell>
          <cell r="AL180">
            <v>500000</v>
          </cell>
        </row>
        <row r="181">
          <cell r="B181">
            <v>43901</v>
          </cell>
          <cell r="C181">
            <v>0</v>
          </cell>
          <cell r="D181">
            <v>0</v>
          </cell>
          <cell r="G181">
            <v>0</v>
          </cell>
          <cell r="H181">
            <v>0</v>
          </cell>
          <cell r="I181">
            <v>10189468100</v>
          </cell>
          <cell r="J181">
            <v>6520500000</v>
          </cell>
          <cell r="K181">
            <v>16709968100</v>
          </cell>
          <cell r="AK181">
            <v>2526836</v>
          </cell>
          <cell r="AL181">
            <v>395000</v>
          </cell>
        </row>
        <row r="182">
          <cell r="B182">
            <v>43902</v>
          </cell>
          <cell r="C182">
            <v>0</v>
          </cell>
          <cell r="D182">
            <v>0</v>
          </cell>
          <cell r="G182">
            <v>0</v>
          </cell>
          <cell r="H182">
            <v>0</v>
          </cell>
          <cell r="I182">
            <v>3295125700</v>
          </cell>
          <cell r="J182">
            <v>0</v>
          </cell>
          <cell r="K182">
            <v>3295125700</v>
          </cell>
          <cell r="AK182">
            <v>395415</v>
          </cell>
          <cell r="AL182">
            <v>96010</v>
          </cell>
        </row>
        <row r="183">
          <cell r="C183">
            <v>0</v>
          </cell>
          <cell r="D183">
            <v>0</v>
          </cell>
          <cell r="G183">
            <v>0</v>
          </cell>
          <cell r="H183">
            <v>0</v>
          </cell>
          <cell r="I183">
            <v>57956154700</v>
          </cell>
          <cell r="J183">
            <v>42947200000</v>
          </cell>
          <cell r="K183">
            <v>100903354700</v>
          </cell>
          <cell r="L183">
            <v>0</v>
          </cell>
          <cell r="AK183">
            <v>15544178</v>
          </cell>
          <cell r="AL183">
            <v>1676990</v>
          </cell>
        </row>
        <row r="184">
          <cell r="B184">
            <v>43903</v>
          </cell>
          <cell r="C184">
            <v>4102760900</v>
          </cell>
          <cell r="D184">
            <v>1596455500</v>
          </cell>
          <cell r="G184">
            <v>5699216400</v>
          </cell>
          <cell r="H184">
            <v>1709765</v>
          </cell>
          <cell r="I184">
            <v>16182915900</v>
          </cell>
          <cell r="J184">
            <v>0</v>
          </cell>
          <cell r="K184">
            <v>16182915900</v>
          </cell>
          <cell r="AK184">
            <v>1941950</v>
          </cell>
          <cell r="AL184">
            <v>554580</v>
          </cell>
        </row>
        <row r="185">
          <cell r="B185">
            <v>43906</v>
          </cell>
          <cell r="C185">
            <v>0</v>
          </cell>
          <cell r="D185">
            <v>0</v>
          </cell>
          <cell r="G185">
            <v>0</v>
          </cell>
          <cell r="H185">
            <v>0</v>
          </cell>
          <cell r="I185">
            <v>18573636000</v>
          </cell>
          <cell r="J185">
            <v>5801500000</v>
          </cell>
          <cell r="K185">
            <v>24375136000</v>
          </cell>
          <cell r="AK185">
            <v>3389136</v>
          </cell>
          <cell r="AL185">
            <v>500000</v>
          </cell>
        </row>
        <row r="186">
          <cell r="B186">
            <v>43907</v>
          </cell>
          <cell r="C186">
            <v>344848000</v>
          </cell>
          <cell r="D186">
            <v>0</v>
          </cell>
          <cell r="G186">
            <v>344848000</v>
          </cell>
          <cell r="H186">
            <v>103454</v>
          </cell>
          <cell r="I186">
            <v>16094838300</v>
          </cell>
          <cell r="J186">
            <v>22679500000</v>
          </cell>
          <cell r="K186">
            <v>38774338300</v>
          </cell>
          <cell r="AK186">
            <v>6467281</v>
          </cell>
          <cell r="AL186">
            <v>205535</v>
          </cell>
        </row>
        <row r="187">
          <cell r="B187">
            <v>43908</v>
          </cell>
          <cell r="C187">
            <v>0</v>
          </cell>
          <cell r="D187">
            <v>0</v>
          </cell>
          <cell r="G187">
            <v>0</v>
          </cell>
          <cell r="H187">
            <v>0</v>
          </cell>
          <cell r="I187">
            <v>1864561600</v>
          </cell>
          <cell r="J187">
            <v>5830000000</v>
          </cell>
          <cell r="K187">
            <v>7694561600</v>
          </cell>
          <cell r="AK187">
            <v>1389747</v>
          </cell>
          <cell r="AL187">
            <v>65000</v>
          </cell>
        </row>
        <row r="188">
          <cell r="B188">
            <v>43909</v>
          </cell>
          <cell r="C188">
            <v>7453964100</v>
          </cell>
          <cell r="D188">
            <v>2791819500</v>
          </cell>
          <cell r="G188">
            <v>10245783600</v>
          </cell>
          <cell r="H188">
            <v>2766362</v>
          </cell>
          <cell r="I188">
            <v>0</v>
          </cell>
          <cell r="J188">
            <v>12335500000</v>
          </cell>
          <cell r="K188">
            <v>12335500000</v>
          </cell>
          <cell r="AK188">
            <v>2220390</v>
          </cell>
          <cell r="AL188">
            <v>67602</v>
          </cell>
        </row>
        <row r="189">
          <cell r="C189">
            <v>11901573000</v>
          </cell>
          <cell r="D189">
            <v>4388275000</v>
          </cell>
          <cell r="G189">
            <v>16289848000</v>
          </cell>
          <cell r="H189">
            <v>4579581</v>
          </cell>
          <cell r="I189">
            <v>52715951800</v>
          </cell>
          <cell r="J189">
            <v>46646500000</v>
          </cell>
          <cell r="K189">
            <v>99362451800</v>
          </cell>
          <cell r="L189">
            <v>0</v>
          </cell>
          <cell r="AK189">
            <v>15408504</v>
          </cell>
          <cell r="AL189">
            <v>1392717</v>
          </cell>
        </row>
        <row r="190">
          <cell r="B190">
            <v>43910</v>
          </cell>
          <cell r="C190">
            <v>0</v>
          </cell>
          <cell r="D190">
            <v>0</v>
          </cell>
          <cell r="G190">
            <v>0</v>
          </cell>
          <cell r="H190">
            <v>0</v>
          </cell>
          <cell r="I190">
            <v>7675107700</v>
          </cell>
          <cell r="J190">
            <v>0</v>
          </cell>
          <cell r="K190">
            <v>7675107700</v>
          </cell>
          <cell r="AK190">
            <v>828912</v>
          </cell>
          <cell r="AL190">
            <v>175461</v>
          </cell>
        </row>
        <row r="191">
          <cell r="B191">
            <v>43913</v>
          </cell>
          <cell r="C191">
            <v>0</v>
          </cell>
          <cell r="D191">
            <v>0</v>
          </cell>
          <cell r="G191">
            <v>0</v>
          </cell>
          <cell r="H191">
            <v>0</v>
          </cell>
          <cell r="I191">
            <v>11605024000</v>
          </cell>
          <cell r="J191">
            <v>3183500000</v>
          </cell>
          <cell r="K191">
            <v>14788524000</v>
          </cell>
          <cell r="AK191">
            <v>1826373</v>
          </cell>
          <cell r="AL191">
            <v>300000</v>
          </cell>
        </row>
        <row r="192">
          <cell r="B192">
            <v>43914</v>
          </cell>
          <cell r="C192">
            <v>0</v>
          </cell>
          <cell r="D192">
            <v>0</v>
          </cell>
          <cell r="G192">
            <v>0</v>
          </cell>
          <cell r="H192">
            <v>0</v>
          </cell>
          <cell r="I192">
            <v>18455340800</v>
          </cell>
          <cell r="K192">
            <v>18455340800</v>
          </cell>
          <cell r="AK192">
            <v>1993177</v>
          </cell>
          <cell r="AL192">
            <v>267873</v>
          </cell>
        </row>
        <row r="193">
          <cell r="B193">
            <v>43915</v>
          </cell>
          <cell r="C193">
            <v>0</v>
          </cell>
          <cell r="D193">
            <v>0</v>
          </cell>
          <cell r="G193">
            <v>0</v>
          </cell>
          <cell r="H193">
            <v>0</v>
          </cell>
          <cell r="I193">
            <v>5133834900</v>
          </cell>
          <cell r="J193">
            <v>3109200000</v>
          </cell>
          <cell r="K193">
            <v>8243034900</v>
          </cell>
          <cell r="AK193">
            <v>1114110</v>
          </cell>
          <cell r="AL193">
            <v>180258</v>
          </cell>
        </row>
        <row r="194">
          <cell r="B194">
            <v>43916</v>
          </cell>
          <cell r="C194">
            <v>0</v>
          </cell>
          <cell r="D194">
            <v>0</v>
          </cell>
          <cell r="G194">
            <v>0</v>
          </cell>
          <cell r="H194">
            <v>0</v>
          </cell>
          <cell r="I194">
            <v>13252549600</v>
          </cell>
          <cell r="J194">
            <v>11082500000</v>
          </cell>
          <cell r="K194">
            <v>24335049600</v>
          </cell>
          <cell r="AK194">
            <v>3426125</v>
          </cell>
          <cell r="AL194">
            <v>300000</v>
          </cell>
        </row>
        <row r="195">
          <cell r="C195">
            <v>0</v>
          </cell>
          <cell r="D195">
            <v>0</v>
          </cell>
          <cell r="G195">
            <v>0</v>
          </cell>
          <cell r="H195">
            <v>0</v>
          </cell>
          <cell r="I195">
            <v>56121857000</v>
          </cell>
          <cell r="J195">
            <v>17375200000</v>
          </cell>
          <cell r="K195">
            <v>73497057000</v>
          </cell>
          <cell r="L195">
            <v>0</v>
          </cell>
          <cell r="AK195">
            <v>9188697</v>
          </cell>
          <cell r="AL195">
            <v>1223592</v>
          </cell>
        </row>
        <row r="196">
          <cell r="B196">
            <v>43917</v>
          </cell>
          <cell r="C196">
            <v>0</v>
          </cell>
          <cell r="D196">
            <v>0</v>
          </cell>
          <cell r="G196">
            <v>0</v>
          </cell>
          <cell r="H196">
            <v>0</v>
          </cell>
          <cell r="I196">
            <v>13414802200</v>
          </cell>
          <cell r="J196">
            <v>0</v>
          </cell>
          <cell r="K196">
            <v>13414802200</v>
          </cell>
          <cell r="AK196">
            <v>1448799</v>
          </cell>
          <cell r="AL196">
            <v>300000</v>
          </cell>
        </row>
        <row r="197">
          <cell r="B197">
            <v>43920</v>
          </cell>
          <cell r="C197">
            <v>0</v>
          </cell>
          <cell r="D197">
            <v>0</v>
          </cell>
          <cell r="G197">
            <v>0</v>
          </cell>
          <cell r="H197">
            <v>0</v>
          </cell>
          <cell r="I197">
            <v>304401500</v>
          </cell>
          <cell r="J197">
            <v>6092900000</v>
          </cell>
          <cell r="K197">
            <v>6397301500</v>
          </cell>
          <cell r="AK197">
            <v>1129597</v>
          </cell>
          <cell r="AL197">
            <v>69000</v>
          </cell>
        </row>
        <row r="198">
          <cell r="B198">
            <v>43921</v>
          </cell>
          <cell r="C198">
            <v>0</v>
          </cell>
          <cell r="D198">
            <v>0</v>
          </cell>
          <cell r="G198">
            <v>0</v>
          </cell>
          <cell r="H198">
            <v>0</v>
          </cell>
          <cell r="I198">
            <v>7594219700</v>
          </cell>
          <cell r="J198">
            <v>5195000000</v>
          </cell>
          <cell r="K198">
            <v>12789219700</v>
          </cell>
          <cell r="AK198">
            <v>1755276</v>
          </cell>
          <cell r="AL198">
            <v>216936</v>
          </cell>
        </row>
        <row r="199">
          <cell r="B199">
            <v>43922</v>
          </cell>
          <cell r="C199">
            <v>0</v>
          </cell>
          <cell r="D199">
            <v>0</v>
          </cell>
          <cell r="G199">
            <v>0</v>
          </cell>
          <cell r="H199">
            <v>0</v>
          </cell>
          <cell r="I199">
            <v>361914300</v>
          </cell>
          <cell r="J199">
            <v>0</v>
          </cell>
          <cell r="K199">
            <v>361914300</v>
          </cell>
          <cell r="AK199">
            <v>39087</v>
          </cell>
          <cell r="AL199">
            <v>10497</v>
          </cell>
        </row>
        <row r="200">
          <cell r="B200">
            <v>43923</v>
          </cell>
          <cell r="C200">
            <v>0</v>
          </cell>
          <cell r="D200">
            <v>0</v>
          </cell>
          <cell r="G200">
            <v>0</v>
          </cell>
          <cell r="H200">
            <v>0</v>
          </cell>
          <cell r="AK200">
            <v>0</v>
          </cell>
        </row>
        <row r="201">
          <cell r="C201">
            <v>0</v>
          </cell>
          <cell r="D201">
            <v>0</v>
          </cell>
          <cell r="G201">
            <v>0</v>
          </cell>
          <cell r="H201">
            <v>0</v>
          </cell>
          <cell r="I201">
            <v>21675337700</v>
          </cell>
          <cell r="J201">
            <v>11287900000</v>
          </cell>
          <cell r="K201">
            <v>32963237700</v>
          </cell>
          <cell r="L201">
            <v>0</v>
          </cell>
          <cell r="AK201">
            <v>4372759</v>
          </cell>
          <cell r="AL201">
            <v>596433</v>
          </cell>
        </row>
        <row r="202">
          <cell r="B202">
            <v>43924</v>
          </cell>
          <cell r="C202">
            <v>0</v>
          </cell>
          <cell r="D202">
            <v>0</v>
          </cell>
          <cell r="G202">
            <v>0</v>
          </cell>
          <cell r="H202">
            <v>0</v>
          </cell>
          <cell r="I202">
            <v>2181089400</v>
          </cell>
          <cell r="J202">
            <v>20159000000</v>
          </cell>
          <cell r="K202">
            <v>22340089400</v>
          </cell>
          <cell r="AK202">
            <v>3864178</v>
          </cell>
          <cell r="AL202">
            <v>61428</v>
          </cell>
        </row>
        <row r="203">
          <cell r="B203">
            <v>43927</v>
          </cell>
          <cell r="C203">
            <v>927000</v>
          </cell>
          <cell r="D203">
            <v>0</v>
          </cell>
          <cell r="G203">
            <v>927000</v>
          </cell>
          <cell r="H203">
            <v>250</v>
          </cell>
          <cell r="I203">
            <v>667741800</v>
          </cell>
          <cell r="J203">
            <v>0</v>
          </cell>
          <cell r="K203">
            <v>667741800</v>
          </cell>
          <cell r="AK203">
            <v>72116</v>
          </cell>
          <cell r="AL203">
            <v>18066</v>
          </cell>
        </row>
        <row r="204">
          <cell r="B204">
            <v>43928</v>
          </cell>
          <cell r="C204">
            <v>4176976300</v>
          </cell>
          <cell r="D204">
            <v>1397980000</v>
          </cell>
          <cell r="G204">
            <v>5574956300</v>
          </cell>
          <cell r="H204">
            <v>1505238</v>
          </cell>
          <cell r="I204">
            <v>2205492300</v>
          </cell>
          <cell r="J204">
            <v>0</v>
          </cell>
          <cell r="K204">
            <v>2205492300</v>
          </cell>
          <cell r="AK204">
            <v>238193</v>
          </cell>
          <cell r="AL204">
            <v>96828</v>
          </cell>
        </row>
        <row r="205">
          <cell r="B205">
            <v>43929</v>
          </cell>
          <cell r="C205">
            <v>2992482800</v>
          </cell>
          <cell r="D205">
            <v>1910066000</v>
          </cell>
          <cell r="G205">
            <v>4902548800</v>
          </cell>
          <cell r="H205">
            <v>1323688</v>
          </cell>
          <cell r="I205">
            <v>1267757200</v>
          </cell>
          <cell r="J205">
            <v>0</v>
          </cell>
          <cell r="K205">
            <v>1267757200</v>
          </cell>
          <cell r="AK205">
            <v>136918</v>
          </cell>
          <cell r="AL205">
            <v>59349</v>
          </cell>
        </row>
        <row r="206">
          <cell r="B206">
            <v>43930</v>
          </cell>
          <cell r="C206">
            <v>3866731900</v>
          </cell>
          <cell r="D206">
            <v>0</v>
          </cell>
          <cell r="G206">
            <v>3866731900</v>
          </cell>
          <cell r="H206">
            <v>1044018</v>
          </cell>
          <cell r="I206">
            <v>2099953700</v>
          </cell>
          <cell r="J206">
            <v>5775000000</v>
          </cell>
          <cell r="K206">
            <v>7874953700</v>
          </cell>
          <cell r="AK206">
            <v>1266295</v>
          </cell>
          <cell r="AL206">
            <v>86205</v>
          </cell>
        </row>
        <row r="207">
          <cell r="C207">
            <v>11037118000</v>
          </cell>
          <cell r="D207">
            <v>3308046000</v>
          </cell>
          <cell r="G207">
            <v>14345164000</v>
          </cell>
          <cell r="H207">
            <v>3873194</v>
          </cell>
          <cell r="I207">
            <v>8422034400</v>
          </cell>
          <cell r="J207">
            <v>25934000000</v>
          </cell>
          <cell r="K207">
            <v>34356034400</v>
          </cell>
          <cell r="L207">
            <v>0</v>
          </cell>
          <cell r="AK207">
            <v>5577700</v>
          </cell>
          <cell r="AL207">
            <v>321876</v>
          </cell>
        </row>
        <row r="208">
          <cell r="B208">
            <v>43931</v>
          </cell>
          <cell r="C208">
            <v>0</v>
          </cell>
          <cell r="D208">
            <v>0</v>
          </cell>
          <cell r="G208">
            <v>0</v>
          </cell>
          <cell r="H208">
            <v>0</v>
          </cell>
          <cell r="I208">
            <v>1432297600</v>
          </cell>
          <cell r="J208">
            <v>0</v>
          </cell>
          <cell r="K208">
            <v>1432297600</v>
          </cell>
          <cell r="AK208">
            <v>154688</v>
          </cell>
          <cell r="AL208">
            <v>35913</v>
          </cell>
        </row>
        <row r="209">
          <cell r="B209">
            <v>43934</v>
          </cell>
          <cell r="C209">
            <v>0</v>
          </cell>
          <cell r="D209">
            <v>1015220000</v>
          </cell>
          <cell r="G209">
            <v>1015220000</v>
          </cell>
          <cell r="H209">
            <v>274109</v>
          </cell>
          <cell r="I209">
            <v>404132400</v>
          </cell>
          <cell r="J209">
            <v>0</v>
          </cell>
          <cell r="K209">
            <v>404132400</v>
          </cell>
          <cell r="AK209">
            <v>43646</v>
          </cell>
          <cell r="AL209">
            <v>4671</v>
          </cell>
        </row>
        <row r="210">
          <cell r="B210">
            <v>43935</v>
          </cell>
          <cell r="C210">
            <v>2191186500</v>
          </cell>
          <cell r="D210">
            <v>0</v>
          </cell>
          <cell r="G210">
            <v>2191186500</v>
          </cell>
          <cell r="H210">
            <v>591620</v>
          </cell>
          <cell r="I210">
            <v>4530741800</v>
          </cell>
          <cell r="J210">
            <v>0</v>
          </cell>
          <cell r="K210">
            <v>4530741800</v>
          </cell>
          <cell r="AK210">
            <v>489320</v>
          </cell>
          <cell r="AL210">
            <v>131628</v>
          </cell>
        </row>
        <row r="211">
          <cell r="B211">
            <v>43936</v>
          </cell>
          <cell r="C211">
            <v>0</v>
          </cell>
          <cell r="D211">
            <v>0</v>
          </cell>
          <cell r="G211">
            <v>0</v>
          </cell>
          <cell r="H211">
            <v>0</v>
          </cell>
          <cell r="I211">
            <v>2209550000</v>
          </cell>
          <cell r="J211">
            <v>0</v>
          </cell>
          <cell r="K211">
            <v>2209550000</v>
          </cell>
          <cell r="AK211">
            <v>238631</v>
          </cell>
          <cell r="AL211">
            <v>25080</v>
          </cell>
        </row>
        <row r="212">
          <cell r="B212">
            <v>43937</v>
          </cell>
          <cell r="C212">
            <v>0</v>
          </cell>
          <cell r="D212">
            <v>0</v>
          </cell>
          <cell r="G212">
            <v>0</v>
          </cell>
          <cell r="H212">
            <v>0</v>
          </cell>
          <cell r="I212">
            <v>1631276100</v>
          </cell>
          <cell r="J212">
            <v>0</v>
          </cell>
          <cell r="K212">
            <v>1631276100</v>
          </cell>
          <cell r="AK212">
            <v>176178</v>
          </cell>
          <cell r="AL212">
            <v>37446</v>
          </cell>
        </row>
        <row r="213">
          <cell r="C213">
            <v>2191186500</v>
          </cell>
          <cell r="D213">
            <v>1015220000</v>
          </cell>
          <cell r="G213">
            <v>3206406500</v>
          </cell>
          <cell r="H213">
            <v>865729</v>
          </cell>
          <cell r="I213">
            <v>10207997900</v>
          </cell>
          <cell r="J213">
            <v>0</v>
          </cell>
          <cell r="K213">
            <v>10207997900</v>
          </cell>
          <cell r="L213">
            <v>0</v>
          </cell>
          <cell r="AK213">
            <v>1102463</v>
          </cell>
          <cell r="AL213">
            <v>234738</v>
          </cell>
        </row>
        <row r="214">
          <cell r="B214">
            <v>43938</v>
          </cell>
          <cell r="C214">
            <v>5219299400</v>
          </cell>
          <cell r="D214">
            <v>0</v>
          </cell>
          <cell r="G214">
            <v>5219299400</v>
          </cell>
          <cell r="H214">
            <v>1409211</v>
          </cell>
          <cell r="I214">
            <v>3422640700</v>
          </cell>
          <cell r="J214">
            <v>2423000000</v>
          </cell>
          <cell r="K214">
            <v>5845640700</v>
          </cell>
          <cell r="AK214">
            <v>805785</v>
          </cell>
          <cell r="AL214">
            <v>84231</v>
          </cell>
        </row>
        <row r="215">
          <cell r="B215">
            <v>43941</v>
          </cell>
          <cell r="C215">
            <v>0</v>
          </cell>
          <cell r="D215">
            <v>0</v>
          </cell>
          <cell r="G215">
            <v>0</v>
          </cell>
          <cell r="H215">
            <v>0</v>
          </cell>
          <cell r="I215">
            <v>2389016100</v>
          </cell>
          <cell r="J215">
            <v>294048000</v>
          </cell>
          <cell r="K215">
            <v>2683064100</v>
          </cell>
          <cell r="AK215">
            <v>310942</v>
          </cell>
          <cell r="AL215">
            <v>53571</v>
          </cell>
        </row>
        <row r="216">
          <cell r="B216">
            <v>43942</v>
          </cell>
          <cell r="C216">
            <v>0</v>
          </cell>
          <cell r="D216">
            <v>0</v>
          </cell>
          <cell r="G216">
            <v>0</v>
          </cell>
          <cell r="H216">
            <v>0</v>
          </cell>
          <cell r="I216">
            <v>2267146200</v>
          </cell>
          <cell r="J216">
            <v>0</v>
          </cell>
          <cell r="K216">
            <v>2267146200</v>
          </cell>
          <cell r="AK216">
            <v>244852</v>
          </cell>
          <cell r="AL216">
            <v>33885</v>
          </cell>
        </row>
        <row r="217">
          <cell r="B217">
            <v>43943</v>
          </cell>
          <cell r="C217">
            <v>155886400</v>
          </cell>
          <cell r="D217">
            <v>1188492000</v>
          </cell>
          <cell r="G217">
            <v>1344378400</v>
          </cell>
          <cell r="H217">
            <v>362982</v>
          </cell>
          <cell r="I217">
            <v>5096290800</v>
          </cell>
          <cell r="J217">
            <v>0</v>
          </cell>
          <cell r="K217">
            <v>5096290800</v>
          </cell>
          <cell r="AK217">
            <v>550399</v>
          </cell>
          <cell r="AL217">
            <v>116025</v>
          </cell>
        </row>
        <row r="218">
          <cell r="B218">
            <v>43944</v>
          </cell>
          <cell r="C218">
            <v>0</v>
          </cell>
          <cell r="D218">
            <v>0</v>
          </cell>
          <cell r="G218">
            <v>0</v>
          </cell>
          <cell r="H218">
            <v>0</v>
          </cell>
          <cell r="I218">
            <v>2343371700</v>
          </cell>
          <cell r="J218">
            <v>11985000000</v>
          </cell>
          <cell r="K218">
            <v>14328371700</v>
          </cell>
          <cell r="AK218">
            <v>2410384</v>
          </cell>
          <cell r="AL218">
            <v>56640</v>
          </cell>
        </row>
        <row r="219">
          <cell r="C219">
            <v>5375185800</v>
          </cell>
          <cell r="D219">
            <v>1188492000</v>
          </cell>
          <cell r="G219">
            <v>6563677800</v>
          </cell>
          <cell r="H219">
            <v>1772193</v>
          </cell>
          <cell r="I219">
            <v>15518465500</v>
          </cell>
          <cell r="J219">
            <v>14702048000</v>
          </cell>
          <cell r="K219">
            <v>30220513500</v>
          </cell>
          <cell r="L219">
            <v>0</v>
          </cell>
          <cell r="AK219">
            <v>4322362</v>
          </cell>
          <cell r="AL219">
            <v>344352</v>
          </cell>
        </row>
        <row r="220">
          <cell r="B220">
            <v>43945</v>
          </cell>
          <cell r="C220">
            <v>1726764100</v>
          </cell>
          <cell r="D220">
            <v>0</v>
          </cell>
          <cell r="G220">
            <v>1726764100</v>
          </cell>
          <cell r="H220">
            <v>466226</v>
          </cell>
          <cell r="I220">
            <v>4104982700</v>
          </cell>
          <cell r="J220">
            <v>2388000000</v>
          </cell>
          <cell r="K220">
            <v>6492982700</v>
          </cell>
          <cell r="L220">
            <v>79073000</v>
          </cell>
          <cell r="AK220">
            <v>887411</v>
          </cell>
          <cell r="AL220">
            <v>67644</v>
          </cell>
        </row>
        <row r="221">
          <cell r="B221">
            <v>43948</v>
          </cell>
          <cell r="C221">
            <v>881608200</v>
          </cell>
          <cell r="D221">
            <v>0</v>
          </cell>
          <cell r="G221">
            <v>881608200</v>
          </cell>
          <cell r="H221">
            <v>238034</v>
          </cell>
          <cell r="I221">
            <v>771018100</v>
          </cell>
          <cell r="J221">
            <v>0</v>
          </cell>
          <cell r="K221">
            <v>771018100</v>
          </cell>
          <cell r="AK221">
            <v>83270</v>
          </cell>
          <cell r="AL221">
            <v>22623</v>
          </cell>
        </row>
        <row r="222">
          <cell r="B222">
            <v>43949</v>
          </cell>
          <cell r="C222">
            <v>11333332100</v>
          </cell>
          <cell r="D222">
            <v>1456530500</v>
          </cell>
          <cell r="G222">
            <v>12789862600</v>
          </cell>
          <cell r="H222">
            <v>3453263</v>
          </cell>
          <cell r="I222">
            <v>3355166800</v>
          </cell>
          <cell r="J222">
            <v>11860000000</v>
          </cell>
          <cell r="K222">
            <v>15215166800</v>
          </cell>
          <cell r="AK222">
            <v>2497158</v>
          </cell>
          <cell r="AL222">
            <v>119040</v>
          </cell>
        </row>
        <row r="223">
          <cell r="B223">
            <v>43950</v>
          </cell>
          <cell r="C223">
            <v>1748642800</v>
          </cell>
          <cell r="D223">
            <v>0</v>
          </cell>
          <cell r="G223">
            <v>1748642800</v>
          </cell>
          <cell r="H223">
            <v>472134</v>
          </cell>
          <cell r="I223">
            <v>928156700</v>
          </cell>
          <cell r="K223">
            <v>928156700</v>
          </cell>
          <cell r="AK223">
            <v>100241</v>
          </cell>
          <cell r="AL223">
            <v>15603</v>
          </cell>
        </row>
        <row r="224">
          <cell r="C224">
            <v>15690347200</v>
          </cell>
          <cell r="D224">
            <v>1456530500</v>
          </cell>
          <cell r="G224">
            <v>17146877700</v>
          </cell>
          <cell r="H224">
            <v>4629657</v>
          </cell>
          <cell r="I224">
            <v>9159324300</v>
          </cell>
          <cell r="J224">
            <v>14248000000</v>
          </cell>
          <cell r="K224">
            <v>23407324300</v>
          </cell>
          <cell r="L224">
            <v>79073000</v>
          </cell>
          <cell r="AK224">
            <v>3568080</v>
          </cell>
          <cell r="AL224">
            <v>224910</v>
          </cell>
        </row>
        <row r="225">
          <cell r="B225">
            <v>43955</v>
          </cell>
          <cell r="C225">
            <v>0</v>
          </cell>
          <cell r="D225">
            <v>0</v>
          </cell>
          <cell r="G225">
            <v>0</v>
          </cell>
          <cell r="H225">
            <v>0</v>
          </cell>
          <cell r="I225">
            <v>478865800</v>
          </cell>
          <cell r="K225">
            <v>478865800</v>
          </cell>
          <cell r="AK225">
            <v>51718</v>
          </cell>
          <cell r="AL225">
            <v>12162</v>
          </cell>
        </row>
        <row r="226">
          <cell r="B226">
            <v>43956</v>
          </cell>
          <cell r="C226">
            <v>1728134700</v>
          </cell>
          <cell r="D226">
            <v>0</v>
          </cell>
          <cell r="G226">
            <v>1728134700</v>
          </cell>
          <cell r="H226">
            <v>466596</v>
          </cell>
          <cell r="I226">
            <v>1539369100</v>
          </cell>
          <cell r="K226">
            <v>1539369100</v>
          </cell>
          <cell r="AK226">
            <v>166252</v>
          </cell>
          <cell r="AL226">
            <v>18804</v>
          </cell>
        </row>
        <row r="227">
          <cell r="B227">
            <v>43957</v>
          </cell>
          <cell r="C227">
            <v>6597285600</v>
          </cell>
          <cell r="D227">
            <v>0</v>
          </cell>
          <cell r="G227">
            <v>6597285600</v>
          </cell>
          <cell r="H227">
            <v>1781267</v>
          </cell>
          <cell r="I227">
            <v>463930300</v>
          </cell>
          <cell r="K227">
            <v>463930300</v>
          </cell>
          <cell r="AK227">
            <v>50104</v>
          </cell>
          <cell r="AL227">
            <v>46026</v>
          </cell>
        </row>
        <row r="228">
          <cell r="B228">
            <v>43958</v>
          </cell>
          <cell r="C228">
            <v>16719210100</v>
          </cell>
          <cell r="D228">
            <v>0</v>
          </cell>
          <cell r="G228">
            <v>16719210100</v>
          </cell>
          <cell r="H228">
            <v>4514187</v>
          </cell>
          <cell r="I228">
            <v>3105918900</v>
          </cell>
          <cell r="J228">
            <v>4893600000</v>
          </cell>
          <cell r="K228">
            <v>7999518900</v>
          </cell>
          <cell r="AK228">
            <v>1216287</v>
          </cell>
          <cell r="AL228">
            <v>201864</v>
          </cell>
        </row>
        <row r="229">
          <cell r="C229">
            <v>25044630400</v>
          </cell>
          <cell r="D229">
            <v>0</v>
          </cell>
          <cell r="G229">
            <v>25044630400</v>
          </cell>
          <cell r="H229">
            <v>6762050</v>
          </cell>
          <cell r="I229">
            <v>5588084100</v>
          </cell>
          <cell r="J229">
            <v>4893600000</v>
          </cell>
          <cell r="K229">
            <v>10481684100</v>
          </cell>
          <cell r="L229">
            <v>0</v>
          </cell>
          <cell r="AK229">
            <v>1484361</v>
          </cell>
          <cell r="AL229">
            <v>278856</v>
          </cell>
        </row>
        <row r="230">
          <cell r="B230">
            <v>43959</v>
          </cell>
          <cell r="C230">
            <v>53921248500</v>
          </cell>
          <cell r="D230">
            <v>0</v>
          </cell>
          <cell r="G230">
            <v>53921248500</v>
          </cell>
          <cell r="H230">
            <v>14558737</v>
          </cell>
          <cell r="I230">
            <v>3137375200</v>
          </cell>
          <cell r="J230">
            <v>10039000000</v>
          </cell>
          <cell r="K230">
            <v>13176375200</v>
          </cell>
          <cell r="AK230">
            <v>2145857</v>
          </cell>
          <cell r="AL230">
            <v>258948</v>
          </cell>
        </row>
        <row r="231">
          <cell r="B231">
            <v>43962</v>
          </cell>
          <cell r="C231">
            <v>3164214300</v>
          </cell>
          <cell r="D231">
            <v>1270140000</v>
          </cell>
          <cell r="G231">
            <v>4434354300</v>
          </cell>
          <cell r="H231">
            <v>1197276</v>
          </cell>
          <cell r="I231">
            <v>1156704200</v>
          </cell>
          <cell r="J231">
            <v>15318000000</v>
          </cell>
          <cell r="K231">
            <v>16474704200</v>
          </cell>
          <cell r="AK231">
            <v>2882164</v>
          </cell>
          <cell r="AL231">
            <v>328825</v>
          </cell>
        </row>
        <row r="232">
          <cell r="B232">
            <v>43963</v>
          </cell>
          <cell r="C232">
            <v>9736323700</v>
          </cell>
          <cell r="D232">
            <v>2575721500</v>
          </cell>
          <cell r="G232">
            <v>12312045200</v>
          </cell>
          <cell r="H232">
            <v>3324252</v>
          </cell>
          <cell r="I232">
            <v>10389903600</v>
          </cell>
          <cell r="J232">
            <v>8243323000</v>
          </cell>
          <cell r="K232">
            <v>18633226600</v>
          </cell>
          <cell r="AK232">
            <v>2605908</v>
          </cell>
          <cell r="AL232">
            <v>323583</v>
          </cell>
        </row>
        <row r="233">
          <cell r="B233">
            <v>43964</v>
          </cell>
          <cell r="C233">
            <v>14110515600</v>
          </cell>
          <cell r="D233">
            <v>5111321000</v>
          </cell>
          <cell r="G233">
            <v>19221836600</v>
          </cell>
          <cell r="H233">
            <v>5189896</v>
          </cell>
          <cell r="I233">
            <v>2341469800</v>
          </cell>
          <cell r="J233">
            <v>0</v>
          </cell>
          <cell r="K233">
            <v>2341469800</v>
          </cell>
          <cell r="AK233">
            <v>252879</v>
          </cell>
          <cell r="AL233">
            <v>167733</v>
          </cell>
        </row>
        <row r="234">
          <cell r="B234">
            <v>43965</v>
          </cell>
          <cell r="C234">
            <v>8295921500</v>
          </cell>
          <cell r="D234">
            <v>0</v>
          </cell>
          <cell r="G234">
            <v>8295921500</v>
          </cell>
          <cell r="H234">
            <v>2239899</v>
          </cell>
          <cell r="I234">
            <v>207899500</v>
          </cell>
          <cell r="J234">
            <v>0</v>
          </cell>
          <cell r="K234">
            <v>207899500</v>
          </cell>
          <cell r="AK234">
            <v>22453</v>
          </cell>
          <cell r="AL234">
            <v>66579</v>
          </cell>
        </row>
        <row r="235">
          <cell r="C235">
            <v>89228223600</v>
          </cell>
          <cell r="D235">
            <v>8957182500</v>
          </cell>
          <cell r="G235">
            <v>98185406100</v>
          </cell>
          <cell r="H235">
            <v>26510060</v>
          </cell>
          <cell r="I235">
            <v>17233352300</v>
          </cell>
          <cell r="J235">
            <v>33600323000</v>
          </cell>
          <cell r="K235">
            <v>50833675300</v>
          </cell>
          <cell r="L235">
            <v>0</v>
          </cell>
          <cell r="AK235">
            <v>7909261</v>
          </cell>
          <cell r="AL235">
            <v>1145668</v>
          </cell>
        </row>
        <row r="236">
          <cell r="B236">
            <v>43966</v>
          </cell>
          <cell r="C236">
            <v>13260971100</v>
          </cell>
          <cell r="D236">
            <v>0</v>
          </cell>
          <cell r="G236">
            <v>13260971100</v>
          </cell>
          <cell r="H236">
            <v>3580462</v>
          </cell>
          <cell r="I236">
            <v>386258200</v>
          </cell>
          <cell r="J236">
            <v>0</v>
          </cell>
          <cell r="K236">
            <v>386258200</v>
          </cell>
          <cell r="O236">
            <v>121000000</v>
          </cell>
          <cell r="AK236">
            <v>63496</v>
          </cell>
          <cell r="AL236">
            <v>117156</v>
          </cell>
        </row>
        <row r="237">
          <cell r="B237">
            <v>43969</v>
          </cell>
          <cell r="C237">
            <v>0</v>
          </cell>
          <cell r="D237">
            <v>0</v>
          </cell>
          <cell r="G237">
            <v>0</v>
          </cell>
          <cell r="H237">
            <v>0</v>
          </cell>
          <cell r="I237">
            <v>8314348900</v>
          </cell>
          <cell r="J237">
            <v>0</v>
          </cell>
          <cell r="K237">
            <v>8314348900</v>
          </cell>
          <cell r="O237">
            <v>1189500000</v>
          </cell>
          <cell r="AK237">
            <v>1112060</v>
          </cell>
          <cell r="AL237">
            <v>191067</v>
          </cell>
        </row>
        <row r="238">
          <cell r="B238">
            <v>43970</v>
          </cell>
          <cell r="C238">
            <v>12685424900</v>
          </cell>
          <cell r="D238">
            <v>0</v>
          </cell>
          <cell r="G238">
            <v>12685424900</v>
          </cell>
          <cell r="H238">
            <v>3425065</v>
          </cell>
          <cell r="I238">
            <v>268400</v>
          </cell>
          <cell r="J238">
            <v>12351000000</v>
          </cell>
          <cell r="K238">
            <v>12351268400</v>
          </cell>
          <cell r="AK238">
            <v>2223209</v>
          </cell>
          <cell r="AL238">
            <v>276006</v>
          </cell>
        </row>
        <row r="239">
          <cell r="B239">
            <v>43971</v>
          </cell>
          <cell r="C239">
            <v>4884846000</v>
          </cell>
          <cell r="D239">
            <v>0</v>
          </cell>
          <cell r="G239">
            <v>4884846000</v>
          </cell>
          <cell r="H239">
            <v>1318908</v>
          </cell>
          <cell r="I239">
            <v>2672000</v>
          </cell>
          <cell r="J239">
            <v>268200000</v>
          </cell>
          <cell r="K239">
            <v>270872000</v>
          </cell>
          <cell r="O239">
            <v>125500000</v>
          </cell>
          <cell r="AK239">
            <v>71155</v>
          </cell>
          <cell r="AL239">
            <v>9000</v>
          </cell>
        </row>
        <row r="240">
          <cell r="B240">
            <v>43972</v>
          </cell>
          <cell r="C240">
            <v>8798853600</v>
          </cell>
          <cell r="D240">
            <v>1002738000</v>
          </cell>
          <cell r="G240">
            <v>9801591600</v>
          </cell>
          <cell r="H240">
            <v>2646430</v>
          </cell>
          <cell r="I240">
            <v>2065888700</v>
          </cell>
          <cell r="J240">
            <v>0</v>
          </cell>
          <cell r="K240">
            <v>2065888700</v>
          </cell>
          <cell r="O240">
            <v>0</v>
          </cell>
          <cell r="AK240">
            <v>223116</v>
          </cell>
          <cell r="AL240">
            <v>46113</v>
          </cell>
        </row>
        <row r="241">
          <cell r="C241">
            <v>39630095600</v>
          </cell>
          <cell r="D241">
            <v>1002738000</v>
          </cell>
          <cell r="G241">
            <v>40632833600</v>
          </cell>
          <cell r="H241">
            <v>10970865</v>
          </cell>
          <cell r="I241">
            <v>10769436200</v>
          </cell>
          <cell r="J241">
            <v>12619200000</v>
          </cell>
          <cell r="K241">
            <v>23388636200</v>
          </cell>
          <cell r="L241">
            <v>0</v>
          </cell>
          <cell r="O241">
            <v>1436000000</v>
          </cell>
          <cell r="AK241">
            <v>3693036</v>
          </cell>
          <cell r="AL241">
            <v>639342</v>
          </cell>
        </row>
        <row r="242">
          <cell r="B242">
            <v>43973</v>
          </cell>
          <cell r="C242">
            <v>3977544100</v>
          </cell>
          <cell r="G242">
            <v>3977544100</v>
          </cell>
          <cell r="H242">
            <v>1073937</v>
          </cell>
          <cell r="I242">
            <v>18886980700</v>
          </cell>
          <cell r="J242">
            <v>26846000000</v>
          </cell>
          <cell r="K242">
            <v>45732980700</v>
          </cell>
          <cell r="AK242">
            <v>6872074</v>
          </cell>
          <cell r="AL242">
            <v>333374</v>
          </cell>
        </row>
        <row r="243">
          <cell r="B243">
            <v>43976</v>
          </cell>
          <cell r="C243">
            <v>3932481300</v>
          </cell>
          <cell r="G243">
            <v>3932481300</v>
          </cell>
          <cell r="H243">
            <v>1061770</v>
          </cell>
          <cell r="I243">
            <v>4408834600</v>
          </cell>
          <cell r="J243">
            <v>29357000000</v>
          </cell>
          <cell r="K243">
            <v>33765834600</v>
          </cell>
          <cell r="O243">
            <v>1215000000</v>
          </cell>
          <cell r="AK243">
            <v>5979114</v>
          </cell>
          <cell r="AL243">
            <v>159855</v>
          </cell>
        </row>
        <row r="244">
          <cell r="B244">
            <v>43977</v>
          </cell>
          <cell r="C244">
            <v>0</v>
          </cell>
          <cell r="D244">
            <v>0</v>
          </cell>
          <cell r="G244">
            <v>0</v>
          </cell>
          <cell r="H244">
            <v>0</v>
          </cell>
          <cell r="I244">
            <v>2796200800</v>
          </cell>
          <cell r="K244">
            <v>2796200800</v>
          </cell>
          <cell r="AK244">
            <v>301990</v>
          </cell>
          <cell r="AL244">
            <v>62028</v>
          </cell>
        </row>
        <row r="245">
          <cell r="B245">
            <v>43978</v>
          </cell>
          <cell r="C245">
            <v>0</v>
          </cell>
          <cell r="D245">
            <v>6739187000</v>
          </cell>
          <cell r="G245">
            <v>6739187000</v>
          </cell>
          <cell r="H245">
            <v>1819580</v>
          </cell>
          <cell r="I245">
            <v>1915891500</v>
          </cell>
          <cell r="J245">
            <v>5350000000</v>
          </cell>
          <cell r="K245">
            <v>7265891500</v>
          </cell>
          <cell r="AK245">
            <v>1169916</v>
          </cell>
          <cell r="AL245">
            <v>27423</v>
          </cell>
        </row>
        <row r="246">
          <cell r="B246">
            <v>43979</v>
          </cell>
          <cell r="C246">
            <v>18190300700</v>
          </cell>
          <cell r="D246">
            <v>6158147500</v>
          </cell>
          <cell r="G246">
            <v>24348448200</v>
          </cell>
          <cell r="H246">
            <v>6574081</v>
          </cell>
          <cell r="I246">
            <v>4404700600</v>
          </cell>
          <cell r="J246">
            <v>13368000000</v>
          </cell>
          <cell r="K246">
            <v>17772700600</v>
          </cell>
          <cell r="AK246">
            <v>2881948</v>
          </cell>
          <cell r="AL246">
            <v>219027</v>
          </cell>
        </row>
        <row r="247">
          <cell r="C247">
            <v>26100326100</v>
          </cell>
          <cell r="D247">
            <v>12897334500</v>
          </cell>
          <cell r="G247">
            <v>38997660600</v>
          </cell>
          <cell r="H247">
            <v>10529368</v>
          </cell>
          <cell r="I247">
            <v>32412608200</v>
          </cell>
          <cell r="J247">
            <v>74921000000</v>
          </cell>
          <cell r="K247">
            <v>107333608200</v>
          </cell>
          <cell r="L247">
            <v>0</v>
          </cell>
          <cell r="O247">
            <v>1215000000</v>
          </cell>
          <cell r="AK247">
            <v>17205042</v>
          </cell>
          <cell r="AL247">
            <v>801707</v>
          </cell>
        </row>
        <row r="248">
          <cell r="B248">
            <v>43980</v>
          </cell>
          <cell r="C248">
            <v>3594343300</v>
          </cell>
          <cell r="D248">
            <v>1245381000</v>
          </cell>
          <cell r="G248">
            <v>4839724300</v>
          </cell>
          <cell r="H248">
            <v>1306726</v>
          </cell>
          <cell r="I248">
            <v>1165929700</v>
          </cell>
          <cell r="J248">
            <v>10639000000</v>
          </cell>
          <cell r="K248">
            <v>11804929700</v>
          </cell>
          <cell r="AK248">
            <v>2040940</v>
          </cell>
          <cell r="AL248">
            <v>32250</v>
          </cell>
        </row>
        <row r="249">
          <cell r="B249">
            <v>43983</v>
          </cell>
          <cell r="C249">
            <v>4422401300</v>
          </cell>
          <cell r="D249">
            <v>3990171000</v>
          </cell>
          <cell r="G249">
            <v>8412572300</v>
          </cell>
          <cell r="H249">
            <v>2271395</v>
          </cell>
          <cell r="I249">
            <v>2671889600</v>
          </cell>
          <cell r="J249">
            <v>2706000000</v>
          </cell>
          <cell r="K249">
            <v>5377889600</v>
          </cell>
          <cell r="AK249">
            <v>775644</v>
          </cell>
          <cell r="AL249">
            <v>78462</v>
          </cell>
        </row>
        <row r="250">
          <cell r="B250">
            <v>43984</v>
          </cell>
          <cell r="C250">
            <v>918091900</v>
          </cell>
          <cell r="D250">
            <v>3264840000</v>
          </cell>
          <cell r="G250">
            <v>4182931900</v>
          </cell>
          <cell r="H250">
            <v>1129392</v>
          </cell>
          <cell r="I250">
            <v>2024893500</v>
          </cell>
          <cell r="J250">
            <v>0</v>
          </cell>
          <cell r="K250">
            <v>2024893500</v>
          </cell>
          <cell r="AK250">
            <v>218688</v>
          </cell>
          <cell r="AL250">
            <v>49194</v>
          </cell>
        </row>
        <row r="251">
          <cell r="B251">
            <v>43985</v>
          </cell>
          <cell r="C251">
            <v>9709229300</v>
          </cell>
          <cell r="D251">
            <v>0</v>
          </cell>
          <cell r="G251">
            <v>9709229300</v>
          </cell>
          <cell r="H251">
            <v>2621492</v>
          </cell>
          <cell r="I251">
            <v>5584695300</v>
          </cell>
          <cell r="J251">
            <v>10914000000</v>
          </cell>
          <cell r="K251">
            <v>16498695300</v>
          </cell>
          <cell r="O251">
            <v>2452000000</v>
          </cell>
          <cell r="AK251">
            <v>3009027</v>
          </cell>
          <cell r="AL251">
            <v>22527</v>
          </cell>
        </row>
        <row r="252">
          <cell r="B252">
            <v>43986</v>
          </cell>
          <cell r="C252">
            <v>10309525900</v>
          </cell>
          <cell r="D252">
            <v>0</v>
          </cell>
          <cell r="G252">
            <v>10309525900</v>
          </cell>
          <cell r="H252">
            <v>2783572</v>
          </cell>
          <cell r="I252">
            <v>5522454700</v>
          </cell>
          <cell r="J252">
            <v>6870000000</v>
          </cell>
          <cell r="K252">
            <v>12392454700</v>
          </cell>
          <cell r="O252">
            <v>107998800</v>
          </cell>
          <cell r="AK252">
            <v>1852465</v>
          </cell>
          <cell r="AL252">
            <v>128247</v>
          </cell>
        </row>
        <row r="253">
          <cell r="C253">
            <v>28953591700</v>
          </cell>
          <cell r="D253">
            <v>8500392000</v>
          </cell>
          <cell r="G253">
            <v>37453983700</v>
          </cell>
          <cell r="H253">
            <v>10112577</v>
          </cell>
          <cell r="I253">
            <v>16969862800</v>
          </cell>
          <cell r="J253">
            <v>31129000000</v>
          </cell>
          <cell r="K253">
            <v>48098862800</v>
          </cell>
          <cell r="L253">
            <v>0</v>
          </cell>
          <cell r="O253">
            <v>2559998800</v>
          </cell>
          <cell r="AK253">
            <v>7896764</v>
          </cell>
          <cell r="AL253">
            <v>310680</v>
          </cell>
        </row>
        <row r="254">
          <cell r="B254">
            <v>43987</v>
          </cell>
          <cell r="C254">
            <v>4834986000</v>
          </cell>
          <cell r="D254">
            <v>1256532500</v>
          </cell>
          <cell r="G254">
            <v>6091518500</v>
          </cell>
          <cell r="H254">
            <v>1644710</v>
          </cell>
          <cell r="I254">
            <v>3130341300</v>
          </cell>
          <cell r="K254">
            <v>3130341300</v>
          </cell>
          <cell r="AK254">
            <v>338077</v>
          </cell>
          <cell r="AL254">
            <v>44145</v>
          </cell>
        </row>
        <row r="255">
          <cell r="B255">
            <v>43990</v>
          </cell>
          <cell r="C255">
            <v>5631784000</v>
          </cell>
          <cell r="D255">
            <v>2439764000</v>
          </cell>
          <cell r="G255">
            <v>8071548000</v>
          </cell>
          <cell r="H255">
            <v>2179318</v>
          </cell>
          <cell r="I255">
            <v>6208092200</v>
          </cell>
          <cell r="K255">
            <v>6208092200</v>
          </cell>
          <cell r="AK255">
            <v>670474</v>
          </cell>
          <cell r="AL255">
            <v>54735</v>
          </cell>
        </row>
        <row r="256">
          <cell r="B256">
            <v>43991</v>
          </cell>
          <cell r="C256">
            <v>8462082500</v>
          </cell>
          <cell r="D256">
            <v>3113800500</v>
          </cell>
          <cell r="G256">
            <v>11575883000</v>
          </cell>
          <cell r="H256">
            <v>3125488</v>
          </cell>
          <cell r="I256">
            <v>2406121000</v>
          </cell>
          <cell r="K256">
            <v>2406121000</v>
          </cell>
          <cell r="O256">
            <v>2652600</v>
          </cell>
          <cell r="AK256">
            <v>260339</v>
          </cell>
          <cell r="AL256">
            <v>113199</v>
          </cell>
        </row>
        <row r="257">
          <cell r="B257">
            <v>43992</v>
          </cell>
          <cell r="C257">
            <v>18100000</v>
          </cell>
          <cell r="D257">
            <v>0</v>
          </cell>
          <cell r="G257">
            <v>18100000</v>
          </cell>
          <cell r="H257">
            <v>4887</v>
          </cell>
          <cell r="I257">
            <v>2767176600</v>
          </cell>
          <cell r="K257">
            <v>2767176600</v>
          </cell>
          <cell r="O257">
            <v>2176626700</v>
          </cell>
          <cell r="AK257">
            <v>690648</v>
          </cell>
          <cell r="AL257">
            <v>22572</v>
          </cell>
        </row>
        <row r="258">
          <cell r="B258">
            <v>43993</v>
          </cell>
          <cell r="C258">
            <v>11416902900</v>
          </cell>
          <cell r="D258">
            <v>1780260500</v>
          </cell>
          <cell r="G258">
            <v>13197163400</v>
          </cell>
          <cell r="H258">
            <v>3563234</v>
          </cell>
          <cell r="I258">
            <v>6163433000</v>
          </cell>
          <cell r="J258">
            <v>8190000000</v>
          </cell>
          <cell r="K258">
            <v>14353433000</v>
          </cell>
          <cell r="O258">
            <v>640688000</v>
          </cell>
          <cell r="AK258">
            <v>2255175</v>
          </cell>
          <cell r="AL258">
            <v>209265</v>
          </cell>
        </row>
        <row r="259">
          <cell r="C259">
            <v>30363855400</v>
          </cell>
          <cell r="D259">
            <v>8590357500</v>
          </cell>
          <cell r="G259">
            <v>38954212900</v>
          </cell>
          <cell r="H259">
            <v>10517637</v>
          </cell>
          <cell r="I259">
            <v>20675164100</v>
          </cell>
          <cell r="J259">
            <v>8190000000</v>
          </cell>
          <cell r="K259">
            <v>28865164100</v>
          </cell>
          <cell r="L259">
            <v>0</v>
          </cell>
          <cell r="O259">
            <v>2819967300</v>
          </cell>
          <cell r="AK259">
            <v>4214713</v>
          </cell>
          <cell r="AL259">
            <v>443916</v>
          </cell>
        </row>
        <row r="260">
          <cell r="B260">
            <v>43994</v>
          </cell>
          <cell r="C260">
            <v>2770120000</v>
          </cell>
          <cell r="D260">
            <v>0</v>
          </cell>
          <cell r="G260">
            <v>2770120000</v>
          </cell>
          <cell r="H260">
            <v>747932</v>
          </cell>
          <cell r="I260">
            <v>695291600</v>
          </cell>
          <cell r="K260">
            <v>695291600</v>
          </cell>
          <cell r="O260">
            <v>2913031800</v>
          </cell>
          <cell r="R260">
            <v>951000000</v>
          </cell>
          <cell r="AK260">
            <v>770617</v>
          </cell>
          <cell r="AL260">
            <v>15009</v>
          </cell>
        </row>
        <row r="261">
          <cell r="B261">
            <v>43997</v>
          </cell>
          <cell r="C261">
            <v>4531978200</v>
          </cell>
          <cell r="D261">
            <v>1380663000</v>
          </cell>
          <cell r="G261">
            <v>5912641200</v>
          </cell>
          <cell r="H261">
            <v>1596413</v>
          </cell>
          <cell r="I261">
            <v>2348924600</v>
          </cell>
          <cell r="J261">
            <v>13022000000</v>
          </cell>
          <cell r="K261">
            <v>15370924600</v>
          </cell>
          <cell r="R261">
            <v>467500000</v>
          </cell>
          <cell r="AK261">
            <v>2681794</v>
          </cell>
          <cell r="AL261">
            <v>42321</v>
          </cell>
        </row>
        <row r="262">
          <cell r="B262">
            <v>43998</v>
          </cell>
          <cell r="C262">
            <v>2674194500</v>
          </cell>
          <cell r="D262">
            <v>547038500</v>
          </cell>
          <cell r="G262">
            <v>3221233000</v>
          </cell>
          <cell r="H262">
            <v>869733</v>
          </cell>
          <cell r="I262">
            <v>2861898700</v>
          </cell>
          <cell r="J262">
            <v>0</v>
          </cell>
          <cell r="K262">
            <v>2861898700</v>
          </cell>
          <cell r="O262">
            <v>669455400</v>
          </cell>
          <cell r="R262">
            <v>18920000</v>
          </cell>
          <cell r="AK262">
            <v>432993</v>
          </cell>
          <cell r="AL262">
            <v>89775</v>
          </cell>
        </row>
        <row r="263">
          <cell r="B263">
            <v>43999</v>
          </cell>
          <cell r="C263">
            <v>8100604800</v>
          </cell>
          <cell r="D263">
            <v>1535310000</v>
          </cell>
          <cell r="G263">
            <v>9635914800</v>
          </cell>
          <cell r="H263">
            <v>2601697</v>
          </cell>
          <cell r="I263">
            <v>3100367600</v>
          </cell>
          <cell r="K263">
            <v>3100367600</v>
          </cell>
          <cell r="O263">
            <v>2835263500</v>
          </cell>
          <cell r="R263">
            <v>94000</v>
          </cell>
          <cell r="AK263">
            <v>845204</v>
          </cell>
          <cell r="AL263">
            <v>120324</v>
          </cell>
        </row>
        <row r="264">
          <cell r="B264">
            <v>44000</v>
          </cell>
          <cell r="C264">
            <v>2531549400</v>
          </cell>
          <cell r="D264">
            <v>0</v>
          </cell>
          <cell r="G264">
            <v>2531549400</v>
          </cell>
          <cell r="H264">
            <v>683518</v>
          </cell>
          <cell r="I264">
            <v>936521000</v>
          </cell>
          <cell r="K264">
            <v>936521000</v>
          </cell>
          <cell r="O264">
            <v>11880000</v>
          </cell>
          <cell r="R264">
            <v>93512600</v>
          </cell>
          <cell r="AK264">
            <v>120115</v>
          </cell>
          <cell r="AL264">
            <v>33363</v>
          </cell>
        </row>
        <row r="265">
          <cell r="C265">
            <v>20608446900</v>
          </cell>
          <cell r="D265">
            <v>3463011500</v>
          </cell>
          <cell r="G265">
            <v>24071458400</v>
          </cell>
          <cell r="H265">
            <v>6499293</v>
          </cell>
          <cell r="I265">
            <v>9943003500</v>
          </cell>
          <cell r="J265">
            <v>13022000000</v>
          </cell>
          <cell r="K265">
            <v>22965003500</v>
          </cell>
          <cell r="L265">
            <v>0</v>
          </cell>
          <cell r="O265">
            <v>6429630700</v>
          </cell>
          <cell r="R265">
            <v>1531026600</v>
          </cell>
          <cell r="AK265">
            <v>4850723</v>
          </cell>
          <cell r="AL265">
            <v>300792</v>
          </cell>
        </row>
        <row r="266">
          <cell r="B266">
            <v>44001</v>
          </cell>
          <cell r="C266">
            <v>11903155100</v>
          </cell>
          <cell r="D266">
            <v>0</v>
          </cell>
          <cell r="E266">
            <v>406477000</v>
          </cell>
          <cell r="G266">
            <v>12309632100</v>
          </cell>
          <cell r="H266">
            <v>3323601</v>
          </cell>
          <cell r="I266">
            <v>3202793000</v>
          </cell>
          <cell r="K266">
            <v>3202793000</v>
          </cell>
          <cell r="O266">
            <v>124855000</v>
          </cell>
          <cell r="AK266">
            <v>368376</v>
          </cell>
          <cell r="AL266">
            <v>13500</v>
          </cell>
        </row>
        <row r="267">
          <cell r="B267">
            <v>44004</v>
          </cell>
          <cell r="C267">
            <v>2756506500</v>
          </cell>
          <cell r="D267">
            <v>0</v>
          </cell>
          <cell r="G267">
            <v>2756506500</v>
          </cell>
          <cell r="H267">
            <v>744257</v>
          </cell>
          <cell r="I267">
            <v>12144353700</v>
          </cell>
          <cell r="J267">
            <v>1348000000</v>
          </cell>
          <cell r="K267">
            <v>13492353700</v>
          </cell>
          <cell r="O267">
            <v>242200000</v>
          </cell>
          <cell r="AK267">
            <v>1597826</v>
          </cell>
          <cell r="AL267">
            <v>153693</v>
          </cell>
        </row>
        <row r="268">
          <cell r="B268">
            <v>44005</v>
          </cell>
          <cell r="C268">
            <v>1838199900</v>
          </cell>
          <cell r="D268">
            <v>0</v>
          </cell>
          <cell r="G268">
            <v>1838199900</v>
          </cell>
          <cell r="H268">
            <v>496314</v>
          </cell>
          <cell r="I268">
            <v>6816434200</v>
          </cell>
          <cell r="J268">
            <v>2685000000</v>
          </cell>
          <cell r="K268">
            <v>9501434200</v>
          </cell>
          <cell r="O268">
            <v>752969600</v>
          </cell>
          <cell r="R268">
            <v>2850000</v>
          </cell>
          <cell r="AK268">
            <v>1355522</v>
          </cell>
          <cell r="AL268">
            <v>155988</v>
          </cell>
        </row>
        <row r="269">
          <cell r="B269">
            <v>44006</v>
          </cell>
          <cell r="C269">
            <v>7231237400</v>
          </cell>
          <cell r="D269">
            <v>0</v>
          </cell>
          <cell r="G269">
            <v>7231237400</v>
          </cell>
          <cell r="H269">
            <v>1952434</v>
          </cell>
          <cell r="I269">
            <v>6400923400</v>
          </cell>
          <cell r="K269">
            <v>6400923400</v>
          </cell>
          <cell r="O269">
            <v>1569135400</v>
          </cell>
          <cell r="R269">
            <v>386862000</v>
          </cell>
          <cell r="AK269">
            <v>1043379</v>
          </cell>
          <cell r="AL269">
            <v>73149</v>
          </cell>
        </row>
        <row r="270">
          <cell r="B270">
            <v>44007</v>
          </cell>
          <cell r="C270">
            <v>7659564800</v>
          </cell>
          <cell r="D270">
            <v>0</v>
          </cell>
          <cell r="E270">
            <v>270106000</v>
          </cell>
          <cell r="G270">
            <v>7929670800</v>
          </cell>
          <cell r="H270">
            <v>2141011</v>
          </cell>
          <cell r="I270">
            <v>7362856600</v>
          </cell>
          <cell r="J270">
            <v>10567000000</v>
          </cell>
          <cell r="K270">
            <v>17929856600</v>
          </cell>
          <cell r="O270">
            <v>3221697500</v>
          </cell>
          <cell r="R270">
            <v>283665000</v>
          </cell>
          <cell r="AK270">
            <v>3328214</v>
          </cell>
          <cell r="AL270">
            <v>177795</v>
          </cell>
        </row>
        <row r="271">
          <cell r="C271">
            <v>31388663700</v>
          </cell>
          <cell r="D271">
            <v>0</v>
          </cell>
          <cell r="G271">
            <v>32065246700</v>
          </cell>
          <cell r="H271">
            <v>8657617</v>
          </cell>
          <cell r="I271">
            <v>35927360900</v>
          </cell>
          <cell r="J271">
            <v>14600000000</v>
          </cell>
          <cell r="K271">
            <v>50527360900</v>
          </cell>
          <cell r="L271">
            <v>0</v>
          </cell>
          <cell r="O271">
            <v>5910857500</v>
          </cell>
          <cell r="R271">
            <v>673377000</v>
          </cell>
          <cell r="AK271">
            <v>7693317</v>
          </cell>
          <cell r="AL271">
            <v>574125</v>
          </cell>
        </row>
        <row r="272">
          <cell r="B272">
            <v>44008</v>
          </cell>
          <cell r="C272">
            <v>2162059600</v>
          </cell>
          <cell r="D272">
            <v>0</v>
          </cell>
          <cell r="G272">
            <v>2162059600</v>
          </cell>
          <cell r="H272">
            <v>583756</v>
          </cell>
          <cell r="I272">
            <v>1476524000</v>
          </cell>
          <cell r="K272">
            <v>1476524000</v>
          </cell>
          <cell r="O272">
            <v>669220000</v>
          </cell>
          <cell r="AK272">
            <v>279924</v>
          </cell>
          <cell r="AL272">
            <v>18261</v>
          </cell>
        </row>
        <row r="273">
          <cell r="B273">
            <v>44011</v>
          </cell>
          <cell r="C273">
            <v>8172946700</v>
          </cell>
          <cell r="D273">
            <v>1901118500</v>
          </cell>
          <cell r="G273">
            <v>10074065200</v>
          </cell>
          <cell r="H273">
            <v>2719998</v>
          </cell>
          <cell r="I273">
            <v>4327576400</v>
          </cell>
          <cell r="J273">
            <v>7756000000</v>
          </cell>
          <cell r="K273">
            <v>12083576400</v>
          </cell>
          <cell r="O273">
            <v>3817596600</v>
          </cell>
          <cell r="AK273">
            <v>2550626</v>
          </cell>
          <cell r="AL273">
            <v>194571</v>
          </cell>
        </row>
        <row r="274">
          <cell r="B274">
            <v>44012</v>
          </cell>
          <cell r="C274">
            <v>7095667200</v>
          </cell>
          <cell r="D274">
            <v>1828235500</v>
          </cell>
          <cell r="G274">
            <v>8923902700</v>
          </cell>
          <cell r="H274">
            <v>2409454</v>
          </cell>
          <cell r="I274">
            <v>1546113600</v>
          </cell>
          <cell r="J274">
            <v>12870000000</v>
          </cell>
          <cell r="K274">
            <v>14416113600</v>
          </cell>
          <cell r="O274">
            <v>1112997300</v>
          </cell>
          <cell r="R274">
            <v>356000000</v>
          </cell>
          <cell r="AK274">
            <v>2748000</v>
          </cell>
          <cell r="AL274">
            <v>127305</v>
          </cell>
        </row>
        <row r="275">
          <cell r="B275">
            <v>44013</v>
          </cell>
          <cell r="C275">
            <v>4348571100</v>
          </cell>
          <cell r="D275">
            <v>1836191000</v>
          </cell>
          <cell r="G275">
            <v>6184762100</v>
          </cell>
          <cell r="H275">
            <v>1669886</v>
          </cell>
          <cell r="I275">
            <v>5123999100</v>
          </cell>
          <cell r="J275">
            <v>2578000000</v>
          </cell>
          <cell r="K275">
            <v>7701999100</v>
          </cell>
          <cell r="O275">
            <v>1264100</v>
          </cell>
          <cell r="R275">
            <v>90800</v>
          </cell>
          <cell r="AK275">
            <v>1017676</v>
          </cell>
          <cell r="AL275">
            <v>99879</v>
          </cell>
        </row>
        <row r="276">
          <cell r="B276">
            <v>44014</v>
          </cell>
          <cell r="C276">
            <v>4400850200</v>
          </cell>
          <cell r="D276">
            <v>1867493500</v>
          </cell>
          <cell r="G276">
            <v>6268343700</v>
          </cell>
          <cell r="H276">
            <v>1692453</v>
          </cell>
          <cell r="I276">
            <v>7215292200</v>
          </cell>
          <cell r="J276">
            <v>2605000000</v>
          </cell>
          <cell r="K276">
            <v>9820292200</v>
          </cell>
          <cell r="O276">
            <v>2163566500</v>
          </cell>
          <cell r="R276">
            <v>528654600</v>
          </cell>
          <cell r="AK276">
            <v>1732751</v>
          </cell>
          <cell r="AL276">
            <v>132564</v>
          </cell>
        </row>
        <row r="277">
          <cell r="C277">
            <v>26180094800</v>
          </cell>
          <cell r="D277">
            <v>7433038500</v>
          </cell>
          <cell r="E277">
            <v>0</v>
          </cell>
          <cell r="G277">
            <v>33613133300</v>
          </cell>
          <cell r="H277">
            <v>9075547</v>
          </cell>
          <cell r="I277">
            <v>19689505300</v>
          </cell>
          <cell r="J277">
            <v>25809000000</v>
          </cell>
          <cell r="K277">
            <v>45498505300</v>
          </cell>
          <cell r="L277">
            <v>0</v>
          </cell>
          <cell r="O277">
            <v>7764644500</v>
          </cell>
          <cell r="R277">
            <v>884745400</v>
          </cell>
          <cell r="AK277">
            <v>8328977</v>
          </cell>
          <cell r="AL277">
            <v>572580</v>
          </cell>
        </row>
        <row r="278">
          <cell r="B278">
            <v>44015</v>
          </cell>
          <cell r="C278">
            <v>9052795800</v>
          </cell>
          <cell r="D278">
            <v>1126830000</v>
          </cell>
          <cell r="G278">
            <v>10179625800</v>
          </cell>
          <cell r="H278">
            <v>2748499</v>
          </cell>
          <cell r="I278">
            <v>4689836800</v>
          </cell>
          <cell r="J278">
            <v>31512000000</v>
          </cell>
          <cell r="K278">
            <v>36201836800</v>
          </cell>
          <cell r="O278">
            <v>15795500</v>
          </cell>
          <cell r="AK278">
            <v>6181506</v>
          </cell>
          <cell r="AL278">
            <v>136929</v>
          </cell>
        </row>
        <row r="279">
          <cell r="B279">
            <v>44018</v>
          </cell>
          <cell r="C279">
            <v>0</v>
          </cell>
          <cell r="D279">
            <v>0</v>
          </cell>
          <cell r="G279">
            <v>0</v>
          </cell>
          <cell r="H279">
            <v>0</v>
          </cell>
          <cell r="I279">
            <v>5271448900</v>
          </cell>
          <cell r="J279">
            <v>0</v>
          </cell>
          <cell r="K279">
            <v>5271448900</v>
          </cell>
          <cell r="O279">
            <v>634078400</v>
          </cell>
          <cell r="R279">
            <v>1006774500</v>
          </cell>
          <cell r="AK279">
            <v>864670</v>
          </cell>
          <cell r="AL279">
            <v>83037</v>
          </cell>
        </row>
        <row r="280">
          <cell r="B280">
            <v>44019</v>
          </cell>
          <cell r="C280">
            <v>6393334400</v>
          </cell>
          <cell r="D280">
            <v>2132063000</v>
          </cell>
          <cell r="G280">
            <v>8525397400</v>
          </cell>
          <cell r="H280">
            <v>2301857</v>
          </cell>
          <cell r="I280">
            <v>534600000</v>
          </cell>
          <cell r="K280">
            <v>534600000</v>
          </cell>
          <cell r="O280">
            <v>14461600</v>
          </cell>
          <cell r="AK280">
            <v>60340</v>
          </cell>
          <cell r="AL280">
            <v>58446</v>
          </cell>
        </row>
        <row r="281">
          <cell r="B281">
            <v>44020</v>
          </cell>
          <cell r="C281">
            <v>2814445000</v>
          </cell>
          <cell r="D281">
            <v>2708856000</v>
          </cell>
          <cell r="E281">
            <v>791650000</v>
          </cell>
          <cell r="G281">
            <v>6314951000</v>
          </cell>
          <cell r="H281">
            <v>1705037</v>
          </cell>
          <cell r="I281">
            <v>373759300</v>
          </cell>
          <cell r="K281">
            <v>373759300</v>
          </cell>
          <cell r="O281">
            <v>3701400</v>
          </cell>
          <cell r="R281">
            <v>325600000</v>
          </cell>
          <cell r="AK281">
            <v>99640</v>
          </cell>
          <cell r="AL281">
            <v>37278</v>
          </cell>
        </row>
        <row r="282">
          <cell r="B282">
            <v>44021</v>
          </cell>
          <cell r="C282">
            <v>0</v>
          </cell>
          <cell r="D282">
            <v>1159922500</v>
          </cell>
          <cell r="G282">
            <v>1159922500</v>
          </cell>
          <cell r="H282">
            <v>313179</v>
          </cell>
          <cell r="I282">
            <v>6893883000</v>
          </cell>
          <cell r="K282">
            <v>6893883000</v>
          </cell>
          <cell r="O282">
            <v>74606600</v>
          </cell>
          <cell r="AK282">
            <v>757969</v>
          </cell>
          <cell r="AL282">
            <v>77088</v>
          </cell>
        </row>
        <row r="283">
          <cell r="C283">
            <v>18260575200</v>
          </cell>
          <cell r="D283">
            <v>7127671500</v>
          </cell>
          <cell r="E283">
            <v>791650000</v>
          </cell>
          <cell r="G283">
            <v>26179896700</v>
          </cell>
          <cell r="H283">
            <v>7068572</v>
          </cell>
          <cell r="I283">
            <v>17763528000</v>
          </cell>
          <cell r="J283">
            <v>31512000000</v>
          </cell>
          <cell r="K283">
            <v>49275528000</v>
          </cell>
          <cell r="L283">
            <v>0</v>
          </cell>
          <cell r="O283">
            <v>742643500</v>
          </cell>
          <cell r="R283">
            <v>1332374500</v>
          </cell>
          <cell r="AK283">
            <v>7964125</v>
          </cell>
          <cell r="AL283">
            <v>392778</v>
          </cell>
        </row>
        <row r="284">
          <cell r="B284">
            <v>44022</v>
          </cell>
          <cell r="C284">
            <v>3660735400</v>
          </cell>
          <cell r="G284">
            <v>3660735400</v>
          </cell>
          <cell r="H284">
            <v>988399</v>
          </cell>
          <cell r="I284">
            <v>5084385000</v>
          </cell>
          <cell r="J284">
            <v>5440000000</v>
          </cell>
          <cell r="K284">
            <v>10524385000</v>
          </cell>
          <cell r="O284">
            <v>471695600</v>
          </cell>
          <cell r="R284">
            <v>2832000</v>
          </cell>
          <cell r="AK284">
            <v>1613729</v>
          </cell>
          <cell r="AL284">
            <v>201228</v>
          </cell>
        </row>
        <row r="285">
          <cell r="B285">
            <v>44025</v>
          </cell>
          <cell r="C285">
            <v>11870010100</v>
          </cell>
          <cell r="D285">
            <v>1969186000</v>
          </cell>
          <cell r="G285">
            <v>13839196100</v>
          </cell>
          <cell r="H285">
            <v>3736583</v>
          </cell>
          <cell r="I285">
            <v>440589500</v>
          </cell>
          <cell r="J285">
            <v>18950000000</v>
          </cell>
          <cell r="K285">
            <v>19390589500</v>
          </cell>
          <cell r="AK285">
            <v>3458584</v>
          </cell>
          <cell r="AL285">
            <v>9780</v>
          </cell>
        </row>
        <row r="286">
          <cell r="B286">
            <v>44026</v>
          </cell>
          <cell r="C286">
            <v>1036732500</v>
          </cell>
          <cell r="D286">
            <v>2725894500</v>
          </cell>
          <cell r="G286">
            <v>3762627000</v>
          </cell>
          <cell r="H286">
            <v>1015909</v>
          </cell>
          <cell r="I286">
            <v>1326080000</v>
          </cell>
          <cell r="K286">
            <v>1326080000</v>
          </cell>
          <cell r="O286">
            <v>101281800</v>
          </cell>
          <cell r="R286">
            <v>93487600</v>
          </cell>
          <cell r="AK286">
            <v>178275</v>
          </cell>
          <cell r="AL286">
            <v>3303</v>
          </cell>
        </row>
        <row r="287">
          <cell r="B287">
            <v>44027</v>
          </cell>
          <cell r="C287">
            <v>65444920700</v>
          </cell>
          <cell r="D287">
            <v>2755599500</v>
          </cell>
          <cell r="G287">
            <v>68200520200</v>
          </cell>
          <cell r="H287">
            <v>18414140</v>
          </cell>
          <cell r="I287">
            <v>3484230200</v>
          </cell>
          <cell r="J287">
            <v>42050500000</v>
          </cell>
          <cell r="K287">
            <v>45534730200</v>
          </cell>
          <cell r="AK287">
            <v>7945387</v>
          </cell>
          <cell r="AL287">
            <v>300000</v>
          </cell>
        </row>
        <row r="288">
          <cell r="B288">
            <v>44028</v>
          </cell>
          <cell r="C288">
            <v>287980000</v>
          </cell>
          <cell r="D288">
            <v>5134834000</v>
          </cell>
          <cell r="G288">
            <v>5422814000</v>
          </cell>
          <cell r="H288">
            <v>1464160</v>
          </cell>
          <cell r="I288">
            <v>0</v>
          </cell>
          <cell r="J288">
            <v>5422000000</v>
          </cell>
          <cell r="K288">
            <v>5422000000</v>
          </cell>
          <cell r="L288">
            <v>0</v>
          </cell>
          <cell r="O288">
            <v>0</v>
          </cell>
          <cell r="R288">
            <v>0</v>
          </cell>
          <cell r="AK288">
            <v>975960</v>
          </cell>
          <cell r="AL288">
            <v>120000</v>
          </cell>
        </row>
        <row r="289">
          <cell r="C289">
            <v>82300378700</v>
          </cell>
          <cell r="D289">
            <v>12585514000</v>
          </cell>
          <cell r="E289">
            <v>0</v>
          </cell>
          <cell r="G289">
            <v>94885892700</v>
          </cell>
          <cell r="H289">
            <v>25619191</v>
          </cell>
          <cell r="I289">
            <v>10335284700</v>
          </cell>
          <cell r="J289">
            <v>71862500000</v>
          </cell>
          <cell r="K289">
            <v>82197784700</v>
          </cell>
          <cell r="L289">
            <v>0</v>
          </cell>
          <cell r="O289">
            <v>572977400</v>
          </cell>
          <cell r="R289">
            <v>96319600</v>
          </cell>
          <cell r="AK289">
            <v>14171935</v>
          </cell>
          <cell r="AL289">
            <v>634311</v>
          </cell>
        </row>
        <row r="290">
          <cell r="B290">
            <v>44029</v>
          </cell>
          <cell r="C290">
            <v>3441011700</v>
          </cell>
          <cell r="D290">
            <v>0</v>
          </cell>
          <cell r="G290">
            <v>3441011700</v>
          </cell>
          <cell r="H290">
            <v>929073</v>
          </cell>
          <cell r="I290">
            <v>8248078400</v>
          </cell>
          <cell r="J290">
            <v>0</v>
          </cell>
          <cell r="K290">
            <v>8248078400</v>
          </cell>
          <cell r="O290">
            <v>365633200</v>
          </cell>
          <cell r="R290">
            <v>571800000</v>
          </cell>
          <cell r="AK290">
            <v>1059530</v>
          </cell>
          <cell r="AL290">
            <v>120939</v>
          </cell>
        </row>
        <row r="291">
          <cell r="B291">
            <v>44032</v>
          </cell>
          <cell r="C291">
            <v>11055636400</v>
          </cell>
          <cell r="D291">
            <v>0</v>
          </cell>
          <cell r="G291">
            <v>11055636400</v>
          </cell>
          <cell r="H291">
            <v>2985022</v>
          </cell>
          <cell r="I291">
            <v>2392485800</v>
          </cell>
          <cell r="J291">
            <v>0</v>
          </cell>
          <cell r="K291">
            <v>2392485800</v>
          </cell>
          <cell r="O291">
            <v>1353629800</v>
          </cell>
          <cell r="AK291">
            <v>502042</v>
          </cell>
          <cell r="AL291">
            <v>165279</v>
          </cell>
        </row>
        <row r="292">
          <cell r="B292">
            <v>44033</v>
          </cell>
          <cell r="C292">
            <v>4495748600</v>
          </cell>
          <cell r="D292">
            <v>0</v>
          </cell>
          <cell r="G292">
            <v>4495748600</v>
          </cell>
          <cell r="H292">
            <v>1213852</v>
          </cell>
          <cell r="I292">
            <v>705034800</v>
          </cell>
          <cell r="J292">
            <v>1344500000</v>
          </cell>
          <cell r="K292">
            <v>2049534800</v>
          </cell>
          <cell r="O292">
            <v>626036200</v>
          </cell>
          <cell r="R292">
            <v>18820000</v>
          </cell>
          <cell r="AK292">
            <v>434228</v>
          </cell>
          <cell r="AL292">
            <v>94230</v>
          </cell>
        </row>
        <row r="293">
          <cell r="B293">
            <v>44034</v>
          </cell>
          <cell r="C293">
            <v>7231259100</v>
          </cell>
          <cell r="D293">
            <v>0</v>
          </cell>
          <cell r="G293">
            <v>7231259100</v>
          </cell>
          <cell r="H293">
            <v>1952440</v>
          </cell>
          <cell r="I293">
            <v>474724200</v>
          </cell>
          <cell r="K293">
            <v>474724200</v>
          </cell>
          <cell r="O293">
            <v>672357400</v>
          </cell>
          <cell r="AK293">
            <v>172295</v>
          </cell>
          <cell r="AL293">
            <v>80292</v>
          </cell>
        </row>
        <row r="294">
          <cell r="B294">
            <v>44035</v>
          </cell>
          <cell r="C294">
            <v>3292000000</v>
          </cell>
          <cell r="D294">
            <v>0</v>
          </cell>
          <cell r="G294">
            <v>3292000000</v>
          </cell>
          <cell r="H294">
            <v>888840</v>
          </cell>
          <cell r="I294">
            <v>3126620500</v>
          </cell>
          <cell r="J294">
            <v>1330000000</v>
          </cell>
          <cell r="K294">
            <v>4456620500</v>
          </cell>
          <cell r="O294">
            <v>882549000</v>
          </cell>
          <cell r="R294">
            <v>753709600</v>
          </cell>
          <cell r="AK294">
            <v>871602</v>
          </cell>
          <cell r="AL294">
            <v>125325</v>
          </cell>
        </row>
        <row r="295">
          <cell r="C295">
            <v>29515655800</v>
          </cell>
          <cell r="D295">
            <v>0</v>
          </cell>
          <cell r="E295">
            <v>0</v>
          </cell>
          <cell r="G295">
            <v>29515655800</v>
          </cell>
          <cell r="H295">
            <v>7969227</v>
          </cell>
          <cell r="I295">
            <v>14946943700</v>
          </cell>
          <cell r="J295">
            <v>2674500000</v>
          </cell>
          <cell r="K295">
            <v>17621443700</v>
          </cell>
          <cell r="L295">
            <v>0</v>
          </cell>
          <cell r="O295">
            <v>3900205600</v>
          </cell>
          <cell r="R295">
            <v>1344329600</v>
          </cell>
          <cell r="AK295">
            <v>3039697</v>
          </cell>
          <cell r="AL295">
            <v>586065</v>
          </cell>
        </row>
        <row r="296">
          <cell r="B296">
            <v>44036</v>
          </cell>
          <cell r="C296">
            <v>28434175900</v>
          </cell>
          <cell r="D296">
            <v>0</v>
          </cell>
          <cell r="G296">
            <v>28434175900</v>
          </cell>
          <cell r="H296">
            <v>7677227</v>
          </cell>
          <cell r="I296">
            <v>2438534600</v>
          </cell>
          <cell r="J296">
            <v>10351000000</v>
          </cell>
          <cell r="K296">
            <v>12789534600</v>
          </cell>
          <cell r="O296">
            <v>4764810400</v>
          </cell>
          <cell r="R296">
            <v>359076300</v>
          </cell>
          <cell r="AK296">
            <v>3048841</v>
          </cell>
          <cell r="AL296">
            <v>302970</v>
          </cell>
        </row>
        <row r="297">
          <cell r="B297">
            <v>44039</v>
          </cell>
          <cell r="C297">
            <v>3343968000</v>
          </cell>
          <cell r="D297">
            <v>3612307500</v>
          </cell>
          <cell r="G297">
            <v>6956275500</v>
          </cell>
          <cell r="H297">
            <v>1878194</v>
          </cell>
          <cell r="I297">
            <v>1632056600</v>
          </cell>
          <cell r="K297">
            <v>1632056600</v>
          </cell>
          <cell r="O297">
            <v>2082209700</v>
          </cell>
          <cell r="R297">
            <v>171547000</v>
          </cell>
          <cell r="AK297">
            <v>581938</v>
          </cell>
          <cell r="AL297">
            <v>127071</v>
          </cell>
        </row>
        <row r="298">
          <cell r="B298">
            <v>44040</v>
          </cell>
          <cell r="C298">
            <v>2881065000</v>
          </cell>
          <cell r="D298">
            <v>0</v>
          </cell>
          <cell r="G298">
            <v>2881065000</v>
          </cell>
          <cell r="H298">
            <v>777888</v>
          </cell>
          <cell r="I298">
            <v>1898518500</v>
          </cell>
          <cell r="J298">
            <v>3892381000</v>
          </cell>
          <cell r="K298">
            <v>5790899500</v>
          </cell>
          <cell r="O298">
            <v>867652500</v>
          </cell>
          <cell r="R298">
            <v>2720376400</v>
          </cell>
          <cell r="AK298">
            <v>1551514</v>
          </cell>
          <cell r="AL298">
            <v>79014</v>
          </cell>
        </row>
        <row r="299">
          <cell r="B299">
            <v>44041</v>
          </cell>
          <cell r="C299">
            <v>6867186000</v>
          </cell>
          <cell r="D299">
            <v>0</v>
          </cell>
          <cell r="G299">
            <v>6867186000</v>
          </cell>
          <cell r="H299">
            <v>1854140</v>
          </cell>
          <cell r="I299">
            <v>2174672300</v>
          </cell>
          <cell r="J299">
            <v>10968500000</v>
          </cell>
          <cell r="K299">
            <v>13143172300</v>
          </cell>
          <cell r="O299">
            <v>2323471800</v>
          </cell>
          <cell r="R299">
            <v>2716105800</v>
          </cell>
          <cell r="AK299">
            <v>3116319</v>
          </cell>
          <cell r="AL299">
            <v>321828</v>
          </cell>
        </row>
        <row r="300">
          <cell r="B300">
            <v>44042</v>
          </cell>
          <cell r="C300">
            <v>0</v>
          </cell>
          <cell r="D300">
            <v>0</v>
          </cell>
          <cell r="G300">
            <v>0</v>
          </cell>
          <cell r="H300">
            <v>0</v>
          </cell>
          <cell r="I300">
            <v>2267528700</v>
          </cell>
          <cell r="J300">
            <v>0</v>
          </cell>
          <cell r="K300">
            <v>2267528700</v>
          </cell>
          <cell r="M300">
            <v>282724500</v>
          </cell>
          <cell r="N300">
            <v>2218000000</v>
          </cell>
          <cell r="O300">
            <v>2500724500</v>
          </cell>
          <cell r="R300">
            <v>25610000</v>
          </cell>
          <cell r="S300">
            <v>1039000000</v>
          </cell>
          <cell r="AK300">
            <v>886653</v>
          </cell>
          <cell r="AL300">
            <v>120669</v>
          </cell>
        </row>
        <row r="301">
          <cell r="C301">
            <v>41526394900</v>
          </cell>
          <cell r="D301">
            <v>3612307500</v>
          </cell>
          <cell r="E301">
            <v>0</v>
          </cell>
          <cell r="G301">
            <v>45138702400</v>
          </cell>
          <cell r="H301">
            <v>12187449</v>
          </cell>
          <cell r="I301">
            <v>10411310700</v>
          </cell>
          <cell r="J301">
            <v>25211881000</v>
          </cell>
          <cell r="K301">
            <v>35623191700</v>
          </cell>
          <cell r="L301">
            <v>0</v>
          </cell>
          <cell r="M301">
            <v>282724500</v>
          </cell>
          <cell r="N301">
            <v>2218000000</v>
          </cell>
          <cell r="O301">
            <v>12538868900</v>
          </cell>
          <cell r="P301">
            <v>0</v>
          </cell>
          <cell r="Q301">
            <v>0</v>
          </cell>
          <cell r="R301">
            <v>5992715500</v>
          </cell>
          <cell r="S301">
            <v>1039000000</v>
          </cell>
          <cell r="AK301">
            <v>9185265</v>
          </cell>
          <cell r="AL301">
            <v>951552</v>
          </cell>
        </row>
        <row r="302">
          <cell r="B302">
            <v>44043</v>
          </cell>
          <cell r="C302">
            <v>0</v>
          </cell>
          <cell r="D302">
            <v>0</v>
          </cell>
          <cell r="G302">
            <v>0</v>
          </cell>
          <cell r="H302">
            <v>0</v>
          </cell>
          <cell r="I302">
            <v>2322516000</v>
          </cell>
          <cell r="J302">
            <v>1240500000</v>
          </cell>
          <cell r="K302">
            <v>3563016000</v>
          </cell>
          <cell r="M302">
            <v>776798500</v>
          </cell>
          <cell r="O302">
            <v>776798500</v>
          </cell>
          <cell r="P302">
            <v>1553035500</v>
          </cell>
          <cell r="R302">
            <v>1553035500</v>
          </cell>
          <cell r="AK302">
            <v>893492</v>
          </cell>
          <cell r="AL302">
            <v>87459</v>
          </cell>
        </row>
        <row r="303">
          <cell r="B303">
            <v>44046</v>
          </cell>
          <cell r="C303">
            <v>0</v>
          </cell>
          <cell r="D303">
            <v>0</v>
          </cell>
          <cell r="G303">
            <v>0</v>
          </cell>
          <cell r="H303">
            <v>0</v>
          </cell>
          <cell r="I303">
            <v>226445500</v>
          </cell>
          <cell r="J303">
            <v>9202400000</v>
          </cell>
          <cell r="K303">
            <v>9428845500</v>
          </cell>
          <cell r="M303">
            <v>95642000</v>
          </cell>
          <cell r="O303">
            <v>95642000</v>
          </cell>
          <cell r="P303">
            <v>812171100</v>
          </cell>
          <cell r="R303">
            <v>812171100</v>
          </cell>
          <cell r="AK303">
            <v>1844294</v>
          </cell>
          <cell r="AL303">
            <v>58617</v>
          </cell>
        </row>
        <row r="304">
          <cell r="B304">
            <v>44047</v>
          </cell>
          <cell r="C304">
            <v>0</v>
          </cell>
          <cell r="D304">
            <v>0</v>
          </cell>
          <cell r="G304">
            <v>0</v>
          </cell>
          <cell r="H304">
            <v>0</v>
          </cell>
          <cell r="I304">
            <v>835613600</v>
          </cell>
          <cell r="J304">
            <v>0</v>
          </cell>
          <cell r="K304">
            <v>835613600</v>
          </cell>
          <cell r="O304">
            <v>0</v>
          </cell>
          <cell r="P304">
            <v>8810000</v>
          </cell>
          <cell r="R304">
            <v>8810000</v>
          </cell>
          <cell r="AK304">
            <v>91832</v>
          </cell>
          <cell r="AL304">
            <v>6324</v>
          </cell>
        </row>
        <row r="305">
          <cell r="B305">
            <v>44048</v>
          </cell>
          <cell r="C305">
            <v>13591893300</v>
          </cell>
          <cell r="D305">
            <v>0</v>
          </cell>
          <cell r="G305">
            <v>13591893300</v>
          </cell>
          <cell r="H305">
            <v>3669811</v>
          </cell>
          <cell r="I305">
            <v>1864682100</v>
          </cell>
          <cell r="K305">
            <v>1864682100</v>
          </cell>
          <cell r="M305">
            <v>6409010800</v>
          </cell>
          <cell r="O305">
            <v>6409010800</v>
          </cell>
          <cell r="P305">
            <v>1132292100</v>
          </cell>
          <cell r="R305">
            <v>1132292100</v>
          </cell>
          <cell r="AK305">
            <v>1558820</v>
          </cell>
          <cell r="AL305">
            <v>38073</v>
          </cell>
        </row>
        <row r="306">
          <cell r="B306">
            <v>44049</v>
          </cell>
          <cell r="C306">
            <v>8567787400</v>
          </cell>
          <cell r="D306">
            <v>0</v>
          </cell>
          <cell r="G306">
            <v>8567787400</v>
          </cell>
          <cell r="H306">
            <v>2313303</v>
          </cell>
          <cell r="I306">
            <v>5854415500</v>
          </cell>
          <cell r="K306">
            <v>5854415500</v>
          </cell>
          <cell r="M306">
            <v>5823103900</v>
          </cell>
          <cell r="O306">
            <v>5823103900</v>
          </cell>
          <cell r="P306">
            <v>1587868500</v>
          </cell>
          <cell r="R306">
            <v>1587868500</v>
          </cell>
          <cell r="AK306">
            <v>1966252</v>
          </cell>
          <cell r="AL306">
            <v>106170</v>
          </cell>
        </row>
        <row r="307">
          <cell r="C307">
            <v>22159680700</v>
          </cell>
          <cell r="D307">
            <v>0</v>
          </cell>
          <cell r="E307">
            <v>0</v>
          </cell>
          <cell r="G307">
            <v>22159680700</v>
          </cell>
          <cell r="H307">
            <v>5983114</v>
          </cell>
          <cell r="I307">
            <v>11103672700</v>
          </cell>
          <cell r="J307">
            <v>10442900000</v>
          </cell>
          <cell r="K307">
            <v>21546572700</v>
          </cell>
          <cell r="L307">
            <v>0</v>
          </cell>
          <cell r="M307">
            <v>13104555200</v>
          </cell>
          <cell r="N307">
            <v>0</v>
          </cell>
          <cell r="O307">
            <v>13104555200</v>
          </cell>
          <cell r="P307">
            <v>5094177200</v>
          </cell>
          <cell r="Q307">
            <v>0</v>
          </cell>
          <cell r="R307">
            <v>5094177200</v>
          </cell>
          <cell r="S307">
            <v>0</v>
          </cell>
          <cell r="AK307">
            <v>6354690</v>
          </cell>
          <cell r="AL307">
            <v>296643</v>
          </cell>
        </row>
        <row r="308">
          <cell r="B308">
            <v>44050</v>
          </cell>
          <cell r="C308">
            <v>3468135200</v>
          </cell>
          <cell r="D308">
            <v>0</v>
          </cell>
          <cell r="G308">
            <v>3468135200</v>
          </cell>
          <cell r="H308">
            <v>936397</v>
          </cell>
          <cell r="I308">
            <v>1328414800</v>
          </cell>
          <cell r="J308">
            <v>0</v>
          </cell>
          <cell r="K308">
            <v>1328414800</v>
          </cell>
          <cell r="M308">
            <v>4597238500</v>
          </cell>
          <cell r="N308">
            <v>0</v>
          </cell>
          <cell r="O308">
            <v>4597238500</v>
          </cell>
          <cell r="P308">
            <v>1039763200</v>
          </cell>
          <cell r="R308">
            <v>1039763200</v>
          </cell>
          <cell r="AK308">
            <v>1158129</v>
          </cell>
          <cell r="AL308">
            <v>9903</v>
          </cell>
        </row>
        <row r="309">
          <cell r="B309">
            <v>44053</v>
          </cell>
          <cell r="C309">
            <v>12112675900</v>
          </cell>
          <cell r="D309">
            <v>0</v>
          </cell>
          <cell r="G309">
            <v>12112675900</v>
          </cell>
          <cell r="H309">
            <v>3270422</v>
          </cell>
          <cell r="I309">
            <v>6182600000</v>
          </cell>
          <cell r="J309">
            <v>16618644400</v>
          </cell>
          <cell r="K309">
            <v>22801244400</v>
          </cell>
          <cell r="M309">
            <v>6958149400</v>
          </cell>
          <cell r="N309">
            <v>584250000</v>
          </cell>
          <cell r="O309">
            <v>7542399400</v>
          </cell>
          <cell r="P309">
            <v>424237500</v>
          </cell>
          <cell r="R309">
            <v>424237500</v>
          </cell>
          <cell r="AK309">
            <v>5093071</v>
          </cell>
          <cell r="AL309">
            <v>315000</v>
          </cell>
        </row>
        <row r="310">
          <cell r="B310">
            <v>44054</v>
          </cell>
          <cell r="C310">
            <v>10075000</v>
          </cell>
          <cell r="D310">
            <v>4228714000</v>
          </cell>
          <cell r="G310">
            <v>4238789000</v>
          </cell>
          <cell r="H310">
            <v>1144473</v>
          </cell>
          <cell r="I310">
            <v>2884399400</v>
          </cell>
          <cell r="K310">
            <v>2884399400</v>
          </cell>
          <cell r="M310">
            <v>5900000</v>
          </cell>
          <cell r="O310">
            <v>5900000</v>
          </cell>
          <cell r="P310">
            <v>909000</v>
          </cell>
          <cell r="R310">
            <v>909000</v>
          </cell>
          <cell r="AK310">
            <v>312741</v>
          </cell>
          <cell r="AL310">
            <v>6000</v>
          </cell>
        </row>
        <row r="311">
          <cell r="B311">
            <v>44055</v>
          </cell>
          <cell r="C311">
            <v>6007517700</v>
          </cell>
          <cell r="D311">
            <v>2398933000</v>
          </cell>
          <cell r="G311">
            <v>8406450700</v>
          </cell>
          <cell r="H311">
            <v>2269742</v>
          </cell>
          <cell r="I311">
            <v>2383973200</v>
          </cell>
          <cell r="J311">
            <v>5781030000</v>
          </cell>
          <cell r="K311">
            <v>8165003200</v>
          </cell>
          <cell r="M311">
            <v>583500000</v>
          </cell>
          <cell r="O311">
            <v>583500000</v>
          </cell>
          <cell r="P311">
            <v>273483600</v>
          </cell>
          <cell r="R311">
            <v>273483600</v>
          </cell>
          <cell r="AK311">
            <v>1452312</v>
          </cell>
          <cell r="AL311">
            <v>156360</v>
          </cell>
        </row>
        <row r="312">
          <cell r="B312">
            <v>44056</v>
          </cell>
          <cell r="C312">
            <v>37196785200</v>
          </cell>
          <cell r="D312">
            <v>0</v>
          </cell>
          <cell r="G312">
            <v>37196785200</v>
          </cell>
          <cell r="H312">
            <v>10043132</v>
          </cell>
          <cell r="I312">
            <v>2956227800</v>
          </cell>
          <cell r="J312">
            <v>43217500000</v>
          </cell>
          <cell r="K312">
            <v>46173727800</v>
          </cell>
          <cell r="M312">
            <v>117900</v>
          </cell>
          <cell r="O312">
            <v>117900</v>
          </cell>
          <cell r="P312">
            <v>366218600</v>
          </cell>
          <cell r="R312">
            <v>366218600</v>
          </cell>
          <cell r="AK312">
            <v>8164363</v>
          </cell>
          <cell r="AL312">
            <v>300006</v>
          </cell>
        </row>
        <row r="313">
          <cell r="C313">
            <v>58795189000</v>
          </cell>
          <cell r="D313">
            <v>6627647000</v>
          </cell>
          <cell r="E313">
            <v>0</v>
          </cell>
          <cell r="G313">
            <v>65422836000</v>
          </cell>
          <cell r="H313">
            <v>17664166</v>
          </cell>
          <cell r="I313">
            <v>15735615200</v>
          </cell>
          <cell r="J313">
            <v>65617174400</v>
          </cell>
          <cell r="K313">
            <v>81352789600</v>
          </cell>
          <cell r="L313">
            <v>0</v>
          </cell>
          <cell r="M313">
            <v>12144905800</v>
          </cell>
          <cell r="N313">
            <v>584250000</v>
          </cell>
          <cell r="O313">
            <v>12729155800</v>
          </cell>
          <cell r="P313">
            <v>2104611900</v>
          </cell>
          <cell r="Q313">
            <v>0</v>
          </cell>
          <cell r="R313">
            <v>2104611900</v>
          </cell>
          <cell r="S313">
            <v>0</v>
          </cell>
          <cell r="AK313">
            <v>16180616</v>
          </cell>
          <cell r="AL313">
            <v>787269</v>
          </cell>
        </row>
        <row r="314">
          <cell r="B314">
            <v>44057</v>
          </cell>
          <cell r="C314">
            <v>27877036000</v>
          </cell>
          <cell r="D314">
            <v>0</v>
          </cell>
          <cell r="G314">
            <v>27877036000</v>
          </cell>
          <cell r="H314">
            <v>7526800</v>
          </cell>
          <cell r="I314">
            <v>3250595400</v>
          </cell>
          <cell r="J314">
            <v>32024000000</v>
          </cell>
          <cell r="K314">
            <v>35274595400</v>
          </cell>
          <cell r="M314">
            <v>880081200</v>
          </cell>
          <cell r="O314">
            <v>880081200</v>
          </cell>
          <cell r="P314">
            <v>6540100</v>
          </cell>
          <cell r="R314">
            <v>6540100</v>
          </cell>
          <cell r="AK314">
            <v>6274976</v>
          </cell>
          <cell r="AL314">
            <v>309183</v>
          </cell>
        </row>
        <row r="315">
          <cell r="B315">
            <v>44060</v>
          </cell>
          <cell r="C315">
            <v>4162149600</v>
          </cell>
          <cell r="D315">
            <v>12454972000</v>
          </cell>
          <cell r="G315">
            <v>16617121600</v>
          </cell>
          <cell r="H315">
            <v>4486623</v>
          </cell>
          <cell r="I315">
            <v>152995700</v>
          </cell>
          <cell r="J315">
            <v>0</v>
          </cell>
          <cell r="K315">
            <v>152995700</v>
          </cell>
          <cell r="M315">
            <v>7293100</v>
          </cell>
          <cell r="O315">
            <v>7293100</v>
          </cell>
          <cell r="P315">
            <v>184524000</v>
          </cell>
          <cell r="R315">
            <v>184524000</v>
          </cell>
          <cell r="AK315">
            <v>51051</v>
          </cell>
          <cell r="AL315">
            <v>41349</v>
          </cell>
        </row>
        <row r="316">
          <cell r="B316">
            <v>44061</v>
          </cell>
          <cell r="C316">
            <v>11290247100</v>
          </cell>
          <cell r="D316">
            <v>0</v>
          </cell>
          <cell r="G316">
            <v>11290247100</v>
          </cell>
          <cell r="H316">
            <v>3048367</v>
          </cell>
          <cell r="I316">
            <v>168788800</v>
          </cell>
          <cell r="J316">
            <v>3966100000</v>
          </cell>
          <cell r="K316">
            <v>4134888800</v>
          </cell>
          <cell r="M316">
            <v>127176300</v>
          </cell>
          <cell r="O316">
            <v>127176300</v>
          </cell>
          <cell r="P316">
            <v>185257200</v>
          </cell>
          <cell r="R316">
            <v>185257200</v>
          </cell>
          <cell r="X316">
            <v>972952500</v>
          </cell>
          <cell r="AK316">
            <v>963497</v>
          </cell>
          <cell r="AL316">
            <v>94878</v>
          </cell>
        </row>
        <row r="317">
          <cell r="B317">
            <v>44062</v>
          </cell>
          <cell r="C317">
            <v>7884202800</v>
          </cell>
          <cell r="D317">
            <v>9199430000</v>
          </cell>
          <cell r="G317">
            <v>17083632800</v>
          </cell>
          <cell r="H317">
            <v>4612581</v>
          </cell>
          <cell r="I317">
            <v>133000</v>
          </cell>
          <cell r="K317">
            <v>133000</v>
          </cell>
          <cell r="M317">
            <v>12019000</v>
          </cell>
          <cell r="O317">
            <v>12019000</v>
          </cell>
          <cell r="P317">
            <v>183861500</v>
          </cell>
          <cell r="R317">
            <v>183861500</v>
          </cell>
          <cell r="S317">
            <v>103200</v>
          </cell>
          <cell r="X317">
            <v>98200</v>
          </cell>
          <cell r="AK317">
            <v>35309</v>
          </cell>
          <cell r="AL317">
            <v>64593</v>
          </cell>
        </row>
        <row r="318">
          <cell r="B318">
            <v>44063</v>
          </cell>
          <cell r="C318">
            <v>19160627100</v>
          </cell>
          <cell r="D318">
            <v>2769832500</v>
          </cell>
          <cell r="G318">
            <v>21930459600</v>
          </cell>
          <cell r="H318">
            <v>5921224</v>
          </cell>
          <cell r="I318">
            <v>4632082600</v>
          </cell>
          <cell r="J318">
            <v>1971750000</v>
          </cell>
          <cell r="K318">
            <v>6603832600</v>
          </cell>
          <cell r="M318">
            <v>1705530500</v>
          </cell>
          <cell r="O318">
            <v>1705530500</v>
          </cell>
          <cell r="P318">
            <v>554433000</v>
          </cell>
          <cell r="R318">
            <v>554433000</v>
          </cell>
          <cell r="AK318">
            <v>1261973</v>
          </cell>
          <cell r="AL318">
            <v>322506</v>
          </cell>
        </row>
        <row r="319">
          <cell r="C319">
            <v>70374262600</v>
          </cell>
          <cell r="D319">
            <v>24424234500</v>
          </cell>
          <cell r="E319">
            <v>0</v>
          </cell>
          <cell r="G319">
            <v>94798497100</v>
          </cell>
          <cell r="H319">
            <v>25595595</v>
          </cell>
          <cell r="I319">
            <v>8204595500</v>
          </cell>
          <cell r="J319">
            <v>37961850000</v>
          </cell>
          <cell r="K319">
            <v>46166445500</v>
          </cell>
          <cell r="L319">
            <v>0</v>
          </cell>
          <cell r="M319">
            <v>2732100100</v>
          </cell>
          <cell r="N319">
            <v>0</v>
          </cell>
          <cell r="O319">
            <v>2732100100</v>
          </cell>
          <cell r="P319">
            <v>1114615800</v>
          </cell>
          <cell r="Q319">
            <v>0</v>
          </cell>
          <cell r="R319">
            <v>1114615800</v>
          </cell>
          <cell r="S319">
            <v>103200</v>
          </cell>
          <cell r="X319">
            <v>973050700</v>
          </cell>
          <cell r="AK319">
            <v>8586806</v>
          </cell>
          <cell r="AL319">
            <v>832509</v>
          </cell>
        </row>
        <row r="320">
          <cell r="B320">
            <v>44064</v>
          </cell>
          <cell r="C320">
            <v>3553596000</v>
          </cell>
          <cell r="D320">
            <v>0</v>
          </cell>
          <cell r="G320">
            <v>3553596000</v>
          </cell>
          <cell r="H320">
            <v>959471</v>
          </cell>
          <cell r="I320">
            <v>446191700</v>
          </cell>
          <cell r="K320">
            <v>446191700</v>
          </cell>
          <cell r="M320">
            <v>4380955600</v>
          </cell>
          <cell r="O320">
            <v>4380955600</v>
          </cell>
          <cell r="P320">
            <v>1256935500</v>
          </cell>
          <cell r="R320">
            <v>1256935500</v>
          </cell>
          <cell r="X320">
            <v>493000</v>
          </cell>
          <cell r="AK320">
            <v>1063098</v>
          </cell>
          <cell r="AL320">
            <v>171729</v>
          </cell>
        </row>
        <row r="321">
          <cell r="B321">
            <v>44067</v>
          </cell>
          <cell r="C321">
            <v>45985647100</v>
          </cell>
          <cell r="D321">
            <v>0</v>
          </cell>
          <cell r="G321">
            <v>45985647100</v>
          </cell>
          <cell r="H321">
            <v>12416125</v>
          </cell>
          <cell r="I321">
            <v>13621943000</v>
          </cell>
          <cell r="J321">
            <v>55433500000</v>
          </cell>
          <cell r="K321">
            <v>69055443000</v>
          </cell>
          <cell r="M321">
            <v>645775900</v>
          </cell>
          <cell r="O321">
            <v>645775900</v>
          </cell>
          <cell r="P321">
            <v>945853000</v>
          </cell>
          <cell r="R321">
            <v>945853000</v>
          </cell>
          <cell r="AK321">
            <v>11735693</v>
          </cell>
          <cell r="AL321">
            <v>302217</v>
          </cell>
        </row>
        <row r="322">
          <cell r="B322">
            <v>44068</v>
          </cell>
          <cell r="C322">
            <v>19316418400</v>
          </cell>
          <cell r="D322">
            <v>0</v>
          </cell>
          <cell r="G322">
            <v>19316418400</v>
          </cell>
          <cell r="H322">
            <v>5215433</v>
          </cell>
          <cell r="I322">
            <v>21909353000</v>
          </cell>
          <cell r="J322">
            <v>28780500000</v>
          </cell>
          <cell r="K322">
            <v>50689853000</v>
          </cell>
          <cell r="M322">
            <v>2180330700</v>
          </cell>
          <cell r="O322">
            <v>2180330700</v>
          </cell>
          <cell r="P322">
            <v>966193600</v>
          </cell>
          <cell r="R322">
            <v>966193600</v>
          </cell>
          <cell r="AK322">
            <v>8113074</v>
          </cell>
          <cell r="AL322">
            <v>360000</v>
          </cell>
        </row>
        <row r="323">
          <cell r="B323">
            <v>44069</v>
          </cell>
          <cell r="C323">
            <v>2285000</v>
          </cell>
          <cell r="D323">
            <v>12359347500</v>
          </cell>
          <cell r="G323">
            <v>12361632500</v>
          </cell>
          <cell r="H323">
            <v>3337641</v>
          </cell>
          <cell r="I323">
            <v>456646800</v>
          </cell>
          <cell r="K323">
            <v>456646800</v>
          </cell>
          <cell r="M323">
            <v>2592065500</v>
          </cell>
          <cell r="O323">
            <v>2592065500</v>
          </cell>
          <cell r="P323">
            <v>194480000</v>
          </cell>
          <cell r="R323">
            <v>194480000</v>
          </cell>
          <cell r="AK323">
            <v>550896</v>
          </cell>
          <cell r="AL323">
            <v>72069</v>
          </cell>
        </row>
        <row r="324">
          <cell r="B324">
            <v>44070</v>
          </cell>
          <cell r="C324">
            <v>0</v>
          </cell>
          <cell r="D324">
            <v>8820154500</v>
          </cell>
          <cell r="G324">
            <v>8820154500</v>
          </cell>
          <cell r="H324">
            <v>2381442</v>
          </cell>
          <cell r="I324">
            <v>1092399900</v>
          </cell>
          <cell r="K324">
            <v>1092399900</v>
          </cell>
          <cell r="M324">
            <v>1225734200</v>
          </cell>
          <cell r="O324">
            <v>1225734200</v>
          </cell>
          <cell r="P324">
            <v>45696000</v>
          </cell>
          <cell r="R324">
            <v>45696000</v>
          </cell>
          <cell r="AK324">
            <v>346837</v>
          </cell>
          <cell r="AL324">
            <v>39291</v>
          </cell>
        </row>
        <row r="325">
          <cell r="C325">
            <v>68857946500</v>
          </cell>
          <cell r="D325">
            <v>21179502000</v>
          </cell>
          <cell r="E325">
            <v>0</v>
          </cell>
          <cell r="G325">
            <v>90037448500</v>
          </cell>
          <cell r="H325">
            <v>24310112</v>
          </cell>
          <cell r="I325">
            <v>37526534400</v>
          </cell>
          <cell r="J325">
            <v>84214000000</v>
          </cell>
          <cell r="K325">
            <v>121740534400</v>
          </cell>
          <cell r="L325">
            <v>0</v>
          </cell>
          <cell r="M325">
            <v>11024861900</v>
          </cell>
          <cell r="N325">
            <v>0</v>
          </cell>
          <cell r="O325">
            <v>11024861900</v>
          </cell>
          <cell r="P325">
            <v>3409158100</v>
          </cell>
          <cell r="Q325">
            <v>0</v>
          </cell>
          <cell r="R325">
            <v>3409158100</v>
          </cell>
          <cell r="S325">
            <v>0</v>
          </cell>
          <cell r="X325">
            <v>493000</v>
          </cell>
          <cell r="AK325">
            <v>21809598</v>
          </cell>
          <cell r="AL325">
            <v>945306</v>
          </cell>
        </row>
        <row r="326">
          <cell r="B326">
            <v>44071</v>
          </cell>
          <cell r="C326">
            <v>13576147000</v>
          </cell>
          <cell r="D326">
            <v>0</v>
          </cell>
          <cell r="G326">
            <v>13576147000</v>
          </cell>
          <cell r="H326">
            <v>3665560</v>
          </cell>
          <cell r="I326">
            <v>18297014100</v>
          </cell>
          <cell r="J326">
            <v>28987500000</v>
          </cell>
          <cell r="K326">
            <v>47284514100</v>
          </cell>
          <cell r="M326">
            <v>2790576100</v>
          </cell>
          <cell r="N326">
            <v>2560000000</v>
          </cell>
          <cell r="O326">
            <v>5350576100</v>
          </cell>
          <cell r="P326">
            <v>971097500</v>
          </cell>
          <cell r="R326">
            <v>971097500</v>
          </cell>
          <cell r="AK326">
            <v>8331729</v>
          </cell>
          <cell r="AL326">
            <v>336000</v>
          </cell>
        </row>
        <row r="327">
          <cell r="B327">
            <v>44074</v>
          </cell>
          <cell r="C327">
            <v>955391400</v>
          </cell>
          <cell r="D327">
            <v>0</v>
          </cell>
          <cell r="G327">
            <v>955391400</v>
          </cell>
          <cell r="H327">
            <v>257956</v>
          </cell>
          <cell r="I327">
            <v>4143943500</v>
          </cell>
          <cell r="K327">
            <v>4143943500</v>
          </cell>
          <cell r="M327">
            <v>1409600000</v>
          </cell>
          <cell r="O327">
            <v>1409600000</v>
          </cell>
          <cell r="P327">
            <v>6908500</v>
          </cell>
          <cell r="R327">
            <v>6908500</v>
          </cell>
          <cell r="S327">
            <v>108500</v>
          </cell>
          <cell r="AK327">
            <v>702537</v>
          </cell>
          <cell r="AL327">
            <v>102996</v>
          </cell>
        </row>
        <row r="328">
          <cell r="B328">
            <v>44075</v>
          </cell>
          <cell r="C328">
            <v>9539035900</v>
          </cell>
          <cell r="D328">
            <v>2899682500</v>
          </cell>
          <cell r="G328">
            <v>12438718400</v>
          </cell>
          <cell r="H328">
            <v>3358454</v>
          </cell>
          <cell r="I328">
            <v>3636395700</v>
          </cell>
          <cell r="K328">
            <v>3636395700</v>
          </cell>
          <cell r="M328">
            <v>1919745400</v>
          </cell>
          <cell r="O328">
            <v>1919745400</v>
          </cell>
          <cell r="P328">
            <v>972724700</v>
          </cell>
          <cell r="R328">
            <v>972724700</v>
          </cell>
          <cell r="S328">
            <v>107500</v>
          </cell>
          <cell r="AK328">
            <v>913395</v>
          </cell>
          <cell r="AL328">
            <v>103044</v>
          </cell>
        </row>
        <row r="329">
          <cell r="B329">
            <v>44077</v>
          </cell>
          <cell r="C329">
            <v>29268104200</v>
          </cell>
          <cell r="D329">
            <v>0</v>
          </cell>
          <cell r="G329">
            <v>29268104200</v>
          </cell>
          <cell r="H329">
            <v>7902388</v>
          </cell>
          <cell r="I329">
            <v>7967169100</v>
          </cell>
          <cell r="J329">
            <v>45081500000</v>
          </cell>
          <cell r="K329">
            <v>53048669100</v>
          </cell>
          <cell r="M329">
            <v>3616131100</v>
          </cell>
          <cell r="N329">
            <v>10393000000</v>
          </cell>
          <cell r="O329">
            <v>14009131100</v>
          </cell>
          <cell r="P329">
            <v>514504600</v>
          </cell>
          <cell r="R329">
            <v>514504600</v>
          </cell>
          <cell r="AK329">
            <v>11589379</v>
          </cell>
          <cell r="AL329">
            <v>366123</v>
          </cell>
        </row>
        <row r="330">
          <cell r="C330">
            <v>53338678500</v>
          </cell>
          <cell r="D330">
            <v>2899682500</v>
          </cell>
          <cell r="E330">
            <v>0</v>
          </cell>
          <cell r="G330">
            <v>56238361000</v>
          </cell>
          <cell r="H330">
            <v>15184358</v>
          </cell>
          <cell r="I330">
            <v>34044522400</v>
          </cell>
          <cell r="J330">
            <v>74069000000</v>
          </cell>
          <cell r="K330">
            <v>108113522400</v>
          </cell>
          <cell r="L330">
            <v>0</v>
          </cell>
          <cell r="M330">
            <v>9736052600</v>
          </cell>
          <cell r="N330">
            <v>12953000000</v>
          </cell>
          <cell r="O330">
            <v>22689052600</v>
          </cell>
          <cell r="P330">
            <v>2465235300</v>
          </cell>
          <cell r="Q330">
            <v>0</v>
          </cell>
          <cell r="R330">
            <v>2465235300</v>
          </cell>
          <cell r="S330">
            <v>216000</v>
          </cell>
          <cell r="X330">
            <v>0</v>
          </cell>
          <cell r="AK330">
            <v>21537040</v>
          </cell>
          <cell r="AL330">
            <v>908163</v>
          </cell>
        </row>
        <row r="331">
          <cell r="B331">
            <v>44078</v>
          </cell>
          <cell r="C331">
            <v>0</v>
          </cell>
          <cell r="D331">
            <v>0</v>
          </cell>
          <cell r="G331">
            <v>0</v>
          </cell>
          <cell r="H331">
            <v>0</v>
          </cell>
          <cell r="I331">
            <v>152424800</v>
          </cell>
          <cell r="K331">
            <v>152424800</v>
          </cell>
          <cell r="M331">
            <v>1370795000</v>
          </cell>
          <cell r="O331">
            <v>1370795000</v>
          </cell>
          <cell r="P331">
            <v>494000000</v>
          </cell>
          <cell r="R331">
            <v>494000000</v>
          </cell>
          <cell r="AK331">
            <v>352125</v>
          </cell>
          <cell r="AL331">
            <v>15000</v>
          </cell>
        </row>
        <row r="332">
          <cell r="B332">
            <v>44081</v>
          </cell>
          <cell r="C332">
            <v>10195886200</v>
          </cell>
          <cell r="D332">
            <v>3554204000</v>
          </cell>
          <cell r="G332">
            <v>13750090200</v>
          </cell>
          <cell r="H332">
            <v>3712524</v>
          </cell>
          <cell r="I332">
            <v>4875860000</v>
          </cell>
          <cell r="K332">
            <v>4875860000</v>
          </cell>
          <cell r="M332">
            <v>129900</v>
          </cell>
          <cell r="O332">
            <v>129900</v>
          </cell>
          <cell r="R332">
            <v>0</v>
          </cell>
          <cell r="AK332">
            <v>526616</v>
          </cell>
          <cell r="AL332">
            <v>147186</v>
          </cell>
        </row>
        <row r="333">
          <cell r="B333">
            <v>44082</v>
          </cell>
          <cell r="C333">
            <v>2067556800</v>
          </cell>
          <cell r="D333">
            <v>0</v>
          </cell>
          <cell r="E333">
            <v>0</v>
          </cell>
          <cell r="F333">
            <v>275557500</v>
          </cell>
          <cell r="G333">
            <v>2343114300</v>
          </cell>
          <cell r="H333">
            <v>632641</v>
          </cell>
          <cell r="I333">
            <v>12325618200</v>
          </cell>
          <cell r="K333">
            <v>12325618200</v>
          </cell>
          <cell r="M333">
            <v>1048048000</v>
          </cell>
          <cell r="O333">
            <v>1048048000</v>
          </cell>
          <cell r="P333">
            <v>486265300</v>
          </cell>
          <cell r="R333">
            <v>486265300</v>
          </cell>
          <cell r="X333">
            <v>1534500</v>
          </cell>
          <cell r="AK333">
            <v>1607619</v>
          </cell>
          <cell r="AL333">
            <v>184473</v>
          </cell>
        </row>
        <row r="334">
          <cell r="B334">
            <v>44083</v>
          </cell>
          <cell r="C334">
            <v>13731253400</v>
          </cell>
          <cell r="D334">
            <v>0</v>
          </cell>
          <cell r="E334">
            <v>0</v>
          </cell>
          <cell r="F334">
            <v>0</v>
          </cell>
          <cell r="G334">
            <v>13731253400</v>
          </cell>
          <cell r="H334">
            <v>3707438</v>
          </cell>
          <cell r="I334">
            <v>3301209900</v>
          </cell>
          <cell r="J334">
            <v>1382000000</v>
          </cell>
          <cell r="K334">
            <v>4683209900</v>
          </cell>
          <cell r="M334">
            <v>2933645500</v>
          </cell>
          <cell r="O334">
            <v>2933645500</v>
          </cell>
          <cell r="P334">
            <v>103736300</v>
          </cell>
          <cell r="R334">
            <v>103736300</v>
          </cell>
          <cell r="AK334">
            <v>1152019</v>
          </cell>
          <cell r="AL334">
            <v>161706</v>
          </cell>
        </row>
        <row r="335">
          <cell r="B335">
            <v>44084</v>
          </cell>
          <cell r="C335">
            <v>15607568500</v>
          </cell>
          <cell r="D335">
            <v>3301179500</v>
          </cell>
          <cell r="E335">
            <v>0</v>
          </cell>
          <cell r="F335">
            <v>0</v>
          </cell>
          <cell r="G335">
            <v>18908748000</v>
          </cell>
          <cell r="H335">
            <v>5105362</v>
          </cell>
          <cell r="I335">
            <v>8653925400</v>
          </cell>
          <cell r="J335">
            <v>13880000000</v>
          </cell>
          <cell r="K335">
            <v>22533925400</v>
          </cell>
          <cell r="M335">
            <v>1124109500</v>
          </cell>
          <cell r="N335">
            <v>2550000000</v>
          </cell>
          <cell r="O335">
            <v>3674109500</v>
          </cell>
          <cell r="P335">
            <v>485484500</v>
          </cell>
          <cell r="R335">
            <v>485484500</v>
          </cell>
          <cell r="AK335">
            <v>4181751</v>
          </cell>
          <cell r="AL335">
            <v>54444</v>
          </cell>
        </row>
        <row r="336">
          <cell r="C336">
            <v>41602264900</v>
          </cell>
          <cell r="D336">
            <v>6855383500</v>
          </cell>
          <cell r="E336">
            <v>0</v>
          </cell>
          <cell r="F336">
            <v>275557500</v>
          </cell>
          <cell r="G336">
            <v>48733205900</v>
          </cell>
          <cell r="H336">
            <v>13157965</v>
          </cell>
          <cell r="I336">
            <v>29309038300</v>
          </cell>
          <cell r="J336">
            <v>15262000000</v>
          </cell>
          <cell r="K336">
            <v>44571038300</v>
          </cell>
          <cell r="L336">
            <v>0</v>
          </cell>
          <cell r="M336">
            <v>6476727900</v>
          </cell>
          <cell r="N336">
            <v>2550000000</v>
          </cell>
          <cell r="O336">
            <v>9026727900</v>
          </cell>
          <cell r="P336">
            <v>1569486100</v>
          </cell>
          <cell r="Q336">
            <v>0</v>
          </cell>
          <cell r="R336">
            <v>1569486100</v>
          </cell>
          <cell r="S336">
            <v>0</v>
          </cell>
          <cell r="X336">
            <v>1534500</v>
          </cell>
          <cell r="AK336">
            <v>7820130</v>
          </cell>
          <cell r="AL336">
            <v>562809</v>
          </cell>
        </row>
        <row r="337">
          <cell r="B337">
            <v>44085</v>
          </cell>
          <cell r="C337">
            <v>11910443000</v>
          </cell>
          <cell r="D337">
            <v>856948500</v>
          </cell>
          <cell r="E337">
            <v>0</v>
          </cell>
          <cell r="F337">
            <v>363001000</v>
          </cell>
          <cell r="G337">
            <v>13130392500</v>
          </cell>
          <cell r="H337">
            <v>3545206</v>
          </cell>
          <cell r="I337">
            <v>12953581400</v>
          </cell>
          <cell r="K337">
            <v>12953581400</v>
          </cell>
          <cell r="M337">
            <v>1478736300</v>
          </cell>
          <cell r="O337">
            <v>1478736300</v>
          </cell>
          <cell r="P337">
            <v>321305900</v>
          </cell>
          <cell r="R337">
            <v>321305900</v>
          </cell>
          <cell r="AK337">
            <v>1722994</v>
          </cell>
          <cell r="AL337">
            <v>388224</v>
          </cell>
        </row>
        <row r="338">
          <cell r="B338">
            <v>44088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1434720400</v>
          </cell>
          <cell r="K338">
            <v>1434720400</v>
          </cell>
          <cell r="M338">
            <v>64355800</v>
          </cell>
          <cell r="O338">
            <v>64355800</v>
          </cell>
          <cell r="P338">
            <v>97200000</v>
          </cell>
          <cell r="R338">
            <v>97200000</v>
          </cell>
          <cell r="AK338">
            <v>184030</v>
          </cell>
          <cell r="AL338">
            <v>2367</v>
          </cell>
        </row>
        <row r="339">
          <cell r="B339">
            <v>44089</v>
          </cell>
          <cell r="C339">
            <v>4615504500</v>
          </cell>
          <cell r="D339">
            <v>2128123000</v>
          </cell>
          <cell r="E339">
            <v>0</v>
          </cell>
          <cell r="F339">
            <v>0</v>
          </cell>
          <cell r="G339">
            <v>6743627500</v>
          </cell>
          <cell r="H339">
            <v>1820779</v>
          </cell>
          <cell r="I339">
            <v>2217229700</v>
          </cell>
          <cell r="K339">
            <v>2217229700</v>
          </cell>
          <cell r="O339">
            <v>0</v>
          </cell>
          <cell r="R339">
            <v>0</v>
          </cell>
          <cell r="AK339">
            <v>239461</v>
          </cell>
          <cell r="AL339">
            <v>82296</v>
          </cell>
        </row>
        <row r="340">
          <cell r="B340">
            <v>44090</v>
          </cell>
          <cell r="C340">
            <v>608000000</v>
          </cell>
          <cell r="D340">
            <v>0</v>
          </cell>
          <cell r="E340">
            <v>0</v>
          </cell>
          <cell r="F340">
            <v>0</v>
          </cell>
          <cell r="G340">
            <v>608000000</v>
          </cell>
          <cell r="H340">
            <v>164160</v>
          </cell>
          <cell r="I340">
            <v>3212900</v>
          </cell>
          <cell r="J340">
            <v>1394000000</v>
          </cell>
          <cell r="K340">
            <v>1397212900</v>
          </cell>
          <cell r="M340">
            <v>128500</v>
          </cell>
          <cell r="O340">
            <v>128500</v>
          </cell>
          <cell r="R340">
            <v>0</v>
          </cell>
          <cell r="AK340">
            <v>251290</v>
          </cell>
          <cell r="AL340">
            <v>69</v>
          </cell>
        </row>
        <row r="341">
          <cell r="B341">
            <v>44091</v>
          </cell>
          <cell r="C341">
            <v>35398730900</v>
          </cell>
          <cell r="D341">
            <v>8911142000</v>
          </cell>
          <cell r="E341">
            <v>0</v>
          </cell>
          <cell r="F341">
            <v>0</v>
          </cell>
          <cell r="G341">
            <v>44309872900</v>
          </cell>
          <cell r="H341">
            <v>11963666</v>
          </cell>
          <cell r="I341">
            <v>5583083100</v>
          </cell>
          <cell r="K341">
            <v>5583083100</v>
          </cell>
          <cell r="M341">
            <v>1260558000</v>
          </cell>
          <cell r="O341">
            <v>1260558000</v>
          </cell>
          <cell r="P341">
            <v>9877000</v>
          </cell>
          <cell r="R341">
            <v>9877000</v>
          </cell>
          <cell r="AK341">
            <v>831651</v>
          </cell>
          <cell r="AL341">
            <v>410376</v>
          </cell>
        </row>
        <row r="342">
          <cell r="C342">
            <v>52532678400</v>
          </cell>
          <cell r="D342">
            <v>11896213500</v>
          </cell>
          <cell r="E342">
            <v>0</v>
          </cell>
          <cell r="F342">
            <v>363001000</v>
          </cell>
          <cell r="G342">
            <v>64791892900</v>
          </cell>
          <cell r="H342">
            <v>17493811</v>
          </cell>
          <cell r="I342">
            <v>22191827500</v>
          </cell>
          <cell r="J342">
            <v>1394000000</v>
          </cell>
          <cell r="K342">
            <v>23585827500</v>
          </cell>
          <cell r="L342">
            <v>0</v>
          </cell>
          <cell r="M342">
            <v>2803778600</v>
          </cell>
          <cell r="N342">
            <v>0</v>
          </cell>
          <cell r="O342">
            <v>2803778600</v>
          </cell>
          <cell r="P342">
            <v>428382900</v>
          </cell>
          <cell r="Q342">
            <v>0</v>
          </cell>
          <cell r="R342">
            <v>428382900</v>
          </cell>
          <cell r="S342">
            <v>0</v>
          </cell>
          <cell r="X342">
            <v>0</v>
          </cell>
          <cell r="AK342">
            <v>3229426</v>
          </cell>
          <cell r="AL342">
            <v>883332</v>
          </cell>
        </row>
        <row r="343">
          <cell r="B343">
            <v>44092</v>
          </cell>
          <cell r="C343">
            <v>11089895700</v>
          </cell>
          <cell r="D343">
            <v>1021212000</v>
          </cell>
          <cell r="G343">
            <v>12111107700</v>
          </cell>
          <cell r="H343">
            <v>3269999</v>
          </cell>
          <cell r="I343">
            <v>13290565800</v>
          </cell>
          <cell r="K343">
            <v>13290565800</v>
          </cell>
          <cell r="M343">
            <v>2399426700</v>
          </cell>
          <cell r="O343">
            <v>2399426700</v>
          </cell>
          <cell r="P343">
            <v>2983452600</v>
          </cell>
          <cell r="R343">
            <v>2983452600</v>
          </cell>
          <cell r="S343">
            <v>50368100</v>
          </cell>
          <cell r="X343">
            <v>3473616200</v>
          </cell>
          <cell r="AK343">
            <v>3038617</v>
          </cell>
          <cell r="AL343">
            <v>22326</v>
          </cell>
        </row>
        <row r="344">
          <cell r="B344">
            <v>44095</v>
          </cell>
          <cell r="C344">
            <v>14803783500</v>
          </cell>
          <cell r="D344">
            <v>0</v>
          </cell>
          <cell r="E344">
            <v>0</v>
          </cell>
          <cell r="F344">
            <v>0</v>
          </cell>
          <cell r="G344">
            <v>14803783500</v>
          </cell>
          <cell r="H344">
            <v>3997022</v>
          </cell>
          <cell r="I344">
            <v>10601802700</v>
          </cell>
          <cell r="K344">
            <v>10601802700</v>
          </cell>
          <cell r="M344">
            <v>2353769000</v>
          </cell>
          <cell r="O344">
            <v>2353769000</v>
          </cell>
          <cell r="P344">
            <v>3993000</v>
          </cell>
          <cell r="R344">
            <v>3993000</v>
          </cell>
          <cell r="S344">
            <v>23906500</v>
          </cell>
          <cell r="X344">
            <v>525315200</v>
          </cell>
          <cell r="AK344">
            <v>1668252</v>
          </cell>
          <cell r="AL344">
            <v>287448</v>
          </cell>
        </row>
        <row r="345">
          <cell r="B345">
            <v>44096</v>
          </cell>
          <cell r="C345">
            <v>14463610600</v>
          </cell>
          <cell r="D345">
            <v>0</v>
          </cell>
          <cell r="E345">
            <v>0</v>
          </cell>
          <cell r="F345">
            <v>0</v>
          </cell>
          <cell r="G345">
            <v>14463610600</v>
          </cell>
          <cell r="H345">
            <v>3905175</v>
          </cell>
          <cell r="I345">
            <v>142300</v>
          </cell>
          <cell r="J345">
            <v>1421500000</v>
          </cell>
          <cell r="K345">
            <v>1421642300</v>
          </cell>
          <cell r="M345">
            <v>3546300</v>
          </cell>
          <cell r="N345">
            <v>5256000000</v>
          </cell>
          <cell r="O345">
            <v>5259546300</v>
          </cell>
          <cell r="P345">
            <v>1796336300</v>
          </cell>
          <cell r="R345">
            <v>1796336300</v>
          </cell>
          <cell r="S345">
            <v>3102400</v>
          </cell>
          <cell r="X345">
            <v>105000</v>
          </cell>
          <cell r="AK345">
            <v>1526522</v>
          </cell>
          <cell r="AL345">
            <v>163836</v>
          </cell>
        </row>
        <row r="346">
          <cell r="B346">
            <v>44097</v>
          </cell>
          <cell r="C346">
            <v>5516227200</v>
          </cell>
          <cell r="D346">
            <v>0</v>
          </cell>
          <cell r="E346">
            <v>0</v>
          </cell>
          <cell r="F346">
            <v>1468762500</v>
          </cell>
          <cell r="G346">
            <v>6984989700</v>
          </cell>
          <cell r="H346">
            <v>1885947</v>
          </cell>
          <cell r="I346">
            <v>1488843800</v>
          </cell>
          <cell r="J346">
            <v>5734500000</v>
          </cell>
          <cell r="K346">
            <v>7223343800</v>
          </cell>
          <cell r="N346">
            <v>1333000000</v>
          </cell>
          <cell r="O346">
            <v>1333000000</v>
          </cell>
          <cell r="P346">
            <v>1056736900</v>
          </cell>
          <cell r="R346">
            <v>1056736900</v>
          </cell>
          <cell r="S346">
            <v>36904400</v>
          </cell>
          <cell r="X346">
            <v>2022780000</v>
          </cell>
          <cell r="AK346">
            <v>1993901</v>
          </cell>
          <cell r="AL346">
            <v>133665</v>
          </cell>
        </row>
        <row r="347">
          <cell r="B347">
            <v>44098</v>
          </cell>
          <cell r="C347">
            <v>16436249600</v>
          </cell>
          <cell r="D347">
            <v>3762478000</v>
          </cell>
          <cell r="E347">
            <v>0</v>
          </cell>
          <cell r="F347">
            <v>879610500</v>
          </cell>
          <cell r="G347">
            <v>21078338100</v>
          </cell>
          <cell r="H347">
            <v>5691151</v>
          </cell>
          <cell r="I347">
            <v>353282000</v>
          </cell>
          <cell r="K347">
            <v>353282000</v>
          </cell>
          <cell r="O347">
            <v>0</v>
          </cell>
          <cell r="P347">
            <v>36672300</v>
          </cell>
          <cell r="R347">
            <v>36672300</v>
          </cell>
          <cell r="S347">
            <v>5351300</v>
          </cell>
          <cell r="X347">
            <v>4341900</v>
          </cell>
          <cell r="AK347">
            <v>46500</v>
          </cell>
          <cell r="AL347">
            <v>126537</v>
          </cell>
        </row>
        <row r="348">
          <cell r="C348">
            <v>62309766600</v>
          </cell>
          <cell r="D348">
            <v>4783690000</v>
          </cell>
          <cell r="E348">
            <v>0</v>
          </cell>
          <cell r="F348">
            <v>2348373000</v>
          </cell>
          <cell r="G348">
            <v>69441829600</v>
          </cell>
          <cell r="H348">
            <v>18749294</v>
          </cell>
          <cell r="I348">
            <v>25734636600</v>
          </cell>
          <cell r="J348">
            <v>7156000000</v>
          </cell>
          <cell r="K348">
            <v>32890636600</v>
          </cell>
          <cell r="L348">
            <v>0</v>
          </cell>
          <cell r="M348">
            <v>4756742000</v>
          </cell>
          <cell r="N348">
            <v>6589000000</v>
          </cell>
          <cell r="O348">
            <v>11345742000</v>
          </cell>
          <cell r="P348">
            <v>5877191100</v>
          </cell>
          <cell r="Q348">
            <v>0</v>
          </cell>
          <cell r="R348">
            <v>5877191100</v>
          </cell>
          <cell r="S348">
            <v>119632700</v>
          </cell>
          <cell r="X348">
            <v>6026158300</v>
          </cell>
          <cell r="AK348">
            <v>8273792</v>
          </cell>
          <cell r="AL348">
            <v>733812</v>
          </cell>
        </row>
        <row r="349">
          <cell r="B349">
            <v>44099</v>
          </cell>
          <cell r="C349">
            <v>7523103300</v>
          </cell>
          <cell r="D349">
            <v>0</v>
          </cell>
          <cell r="E349">
            <v>0</v>
          </cell>
          <cell r="F349">
            <v>0</v>
          </cell>
          <cell r="G349">
            <v>7523103300</v>
          </cell>
          <cell r="H349">
            <v>2031238</v>
          </cell>
          <cell r="I349">
            <v>1477503900</v>
          </cell>
          <cell r="K349">
            <v>1477503900</v>
          </cell>
          <cell r="M349">
            <v>2392200000</v>
          </cell>
          <cell r="N349">
            <v>1326000000</v>
          </cell>
          <cell r="O349">
            <v>3718200000</v>
          </cell>
          <cell r="P349">
            <v>508355400</v>
          </cell>
          <cell r="R349">
            <v>508355400</v>
          </cell>
          <cell r="S349">
            <v>111400</v>
          </cell>
          <cell r="X349">
            <v>211000</v>
          </cell>
          <cell r="AK349">
            <v>920408</v>
          </cell>
          <cell r="AL349">
            <v>46113</v>
          </cell>
        </row>
        <row r="350">
          <cell r="B350">
            <v>44102</v>
          </cell>
          <cell r="C350">
            <v>6701653000</v>
          </cell>
          <cell r="D350">
            <v>0</v>
          </cell>
          <cell r="E350">
            <v>0</v>
          </cell>
          <cell r="F350">
            <v>0</v>
          </cell>
          <cell r="G350">
            <v>6701653000</v>
          </cell>
          <cell r="H350">
            <v>1809446</v>
          </cell>
          <cell r="I350">
            <v>234273000</v>
          </cell>
          <cell r="K350">
            <v>234273000</v>
          </cell>
          <cell r="M350">
            <v>1441965700</v>
          </cell>
          <cell r="O350">
            <v>1441965700</v>
          </cell>
          <cell r="P350">
            <v>1032217700</v>
          </cell>
          <cell r="R350">
            <v>1032217700</v>
          </cell>
          <cell r="S350">
            <v>13349000</v>
          </cell>
          <cell r="X350">
            <v>533597500</v>
          </cell>
          <cell r="AK350">
            <v>569105</v>
          </cell>
          <cell r="AL350">
            <v>79857</v>
          </cell>
        </row>
        <row r="351">
          <cell r="B351">
            <v>44103</v>
          </cell>
          <cell r="C351">
            <v>6018976300</v>
          </cell>
          <cell r="D351">
            <v>1581941500</v>
          </cell>
          <cell r="E351">
            <v>0</v>
          </cell>
          <cell r="F351">
            <v>0</v>
          </cell>
          <cell r="G351">
            <v>7600917800</v>
          </cell>
          <cell r="H351">
            <v>2052248</v>
          </cell>
          <cell r="I351">
            <v>3935935300</v>
          </cell>
          <cell r="K351">
            <v>3935935300</v>
          </cell>
          <cell r="M351">
            <v>401700000</v>
          </cell>
          <cell r="O351">
            <v>401700000</v>
          </cell>
          <cell r="P351">
            <v>10470000</v>
          </cell>
          <cell r="R351">
            <v>10470000</v>
          </cell>
          <cell r="S351">
            <v>232093100</v>
          </cell>
          <cell r="X351">
            <v>4778225000</v>
          </cell>
          <cell r="AK351">
            <v>1401129</v>
          </cell>
          <cell r="AL351">
            <v>88854</v>
          </cell>
        </row>
        <row r="352">
          <cell r="B352">
            <v>44104</v>
          </cell>
          <cell r="C352">
            <v>2826672400</v>
          </cell>
          <cell r="D352">
            <v>0</v>
          </cell>
          <cell r="E352">
            <v>348551500</v>
          </cell>
          <cell r="F352">
            <v>0</v>
          </cell>
          <cell r="G352">
            <v>3175223900</v>
          </cell>
          <cell r="H352">
            <v>857310</v>
          </cell>
          <cell r="I352">
            <v>3988131900</v>
          </cell>
          <cell r="K352">
            <v>3988131900</v>
          </cell>
          <cell r="M352">
            <v>1713246200</v>
          </cell>
          <cell r="O352">
            <v>1713246200</v>
          </cell>
          <cell r="P352">
            <v>35898800</v>
          </cell>
          <cell r="R352">
            <v>35898800</v>
          </cell>
          <cell r="S352">
            <v>25653600</v>
          </cell>
          <cell r="X352">
            <v>2085936700</v>
          </cell>
          <cell r="AK352">
            <v>1125651</v>
          </cell>
          <cell r="AL352">
            <v>30567</v>
          </cell>
        </row>
        <row r="353">
          <cell r="B353">
            <v>44105</v>
          </cell>
          <cell r="C353">
            <v>4869590000</v>
          </cell>
          <cell r="D353">
            <v>833687500</v>
          </cell>
          <cell r="E353">
            <v>0</v>
          </cell>
          <cell r="F353">
            <v>0</v>
          </cell>
          <cell r="G353">
            <v>5703277500</v>
          </cell>
          <cell r="H353">
            <v>1539885</v>
          </cell>
          <cell r="I353">
            <v>1559524000</v>
          </cell>
          <cell r="K353">
            <v>1559524000</v>
          </cell>
          <cell r="M353">
            <v>484200000</v>
          </cell>
          <cell r="O353">
            <v>484200000</v>
          </cell>
          <cell r="P353">
            <v>15600000</v>
          </cell>
          <cell r="R353">
            <v>15600000</v>
          </cell>
          <cell r="S353">
            <v>9318100</v>
          </cell>
          <cell r="X353">
            <v>320700</v>
          </cell>
          <cell r="AK353">
            <v>224142</v>
          </cell>
          <cell r="AL353">
            <v>81273</v>
          </cell>
        </row>
        <row r="354">
          <cell r="C354">
            <v>27939995000</v>
          </cell>
          <cell r="D354">
            <v>2415629000</v>
          </cell>
          <cell r="E354">
            <v>348551500</v>
          </cell>
          <cell r="F354">
            <v>0</v>
          </cell>
          <cell r="G354">
            <v>30704175500</v>
          </cell>
          <cell r="H354">
            <v>8290127</v>
          </cell>
          <cell r="I354">
            <v>11195368100</v>
          </cell>
          <cell r="J354">
            <v>0</v>
          </cell>
          <cell r="K354">
            <v>11195368100</v>
          </cell>
          <cell r="L354">
            <v>0</v>
          </cell>
          <cell r="M354">
            <v>6433311900</v>
          </cell>
          <cell r="N354">
            <v>1326000000</v>
          </cell>
          <cell r="O354">
            <v>7759311900</v>
          </cell>
          <cell r="P354">
            <v>1602541900</v>
          </cell>
          <cell r="Q354">
            <v>0</v>
          </cell>
          <cell r="R354">
            <v>1602541900</v>
          </cell>
          <cell r="S354">
            <v>280525200</v>
          </cell>
          <cell r="X354">
            <v>7398290900</v>
          </cell>
          <cell r="AK354">
            <v>4240435</v>
          </cell>
          <cell r="AL354">
            <v>326664</v>
          </cell>
        </row>
        <row r="355">
          <cell r="B355">
            <v>44106</v>
          </cell>
          <cell r="C355">
            <v>5198150600</v>
          </cell>
          <cell r="D355">
            <v>0</v>
          </cell>
          <cell r="E355">
            <v>0</v>
          </cell>
          <cell r="F355">
            <v>0</v>
          </cell>
          <cell r="G355">
            <v>5198150600</v>
          </cell>
          <cell r="H355">
            <v>1403501</v>
          </cell>
          <cell r="I355">
            <v>3296963000</v>
          </cell>
          <cell r="K355">
            <v>3296963000</v>
          </cell>
          <cell r="M355">
            <v>1084817500</v>
          </cell>
          <cell r="O355">
            <v>1084817500</v>
          </cell>
          <cell r="P355">
            <v>209800</v>
          </cell>
          <cell r="R355">
            <v>209800</v>
          </cell>
          <cell r="S355">
            <v>137573000</v>
          </cell>
          <cell r="X355">
            <v>3934527800</v>
          </cell>
          <cell r="AK355">
            <v>1206233</v>
          </cell>
          <cell r="AL355">
            <v>108027</v>
          </cell>
        </row>
        <row r="356">
          <cell r="B356">
            <v>44109</v>
          </cell>
          <cell r="C356">
            <v>1901181200</v>
          </cell>
          <cell r="D356">
            <v>0</v>
          </cell>
          <cell r="E356">
            <v>0</v>
          </cell>
          <cell r="F356">
            <v>0</v>
          </cell>
          <cell r="G356">
            <v>1901181200</v>
          </cell>
          <cell r="H356">
            <v>513319</v>
          </cell>
          <cell r="I356">
            <v>360536600</v>
          </cell>
          <cell r="K356">
            <v>360536600</v>
          </cell>
          <cell r="M356">
            <v>13655500</v>
          </cell>
          <cell r="O356">
            <v>13655500</v>
          </cell>
          <cell r="P356">
            <v>10420000</v>
          </cell>
          <cell r="R356">
            <v>10420000</v>
          </cell>
          <cell r="S356">
            <v>7350600</v>
          </cell>
          <cell r="AK356">
            <v>42861</v>
          </cell>
          <cell r="AL356">
            <v>492</v>
          </cell>
        </row>
        <row r="357">
          <cell r="B357">
            <v>44110</v>
          </cell>
          <cell r="C357">
            <v>14338635100</v>
          </cell>
          <cell r="D357">
            <v>0</v>
          </cell>
          <cell r="E357">
            <v>0</v>
          </cell>
          <cell r="F357">
            <v>0</v>
          </cell>
          <cell r="G357">
            <v>14338635100</v>
          </cell>
          <cell r="H357">
            <v>3871431</v>
          </cell>
          <cell r="I357">
            <v>3875842500</v>
          </cell>
          <cell r="K357">
            <v>3875842500</v>
          </cell>
          <cell r="M357">
            <v>707688000</v>
          </cell>
          <cell r="O357">
            <v>707688000</v>
          </cell>
          <cell r="R357">
            <v>0</v>
          </cell>
          <cell r="S357">
            <v>25486000</v>
          </cell>
          <cell r="X357">
            <v>2701614000</v>
          </cell>
          <cell r="AK357">
            <v>985899</v>
          </cell>
          <cell r="AL357">
            <v>243957</v>
          </cell>
        </row>
        <row r="358">
          <cell r="B358">
            <v>44111</v>
          </cell>
          <cell r="C358">
            <v>3929751600</v>
          </cell>
          <cell r="D358">
            <v>0</v>
          </cell>
          <cell r="E358">
            <v>0</v>
          </cell>
          <cell r="F358">
            <v>0</v>
          </cell>
          <cell r="G358">
            <v>3929751600</v>
          </cell>
          <cell r="H358">
            <v>1061033</v>
          </cell>
          <cell r="I358">
            <v>2479032600</v>
          </cell>
          <cell r="J358">
            <v>5838000000</v>
          </cell>
          <cell r="K358">
            <v>8317032600</v>
          </cell>
          <cell r="M358">
            <v>948850000</v>
          </cell>
          <cell r="O358">
            <v>948850000</v>
          </cell>
          <cell r="P358">
            <v>2104000</v>
          </cell>
          <cell r="R358">
            <v>2104000</v>
          </cell>
          <cell r="S358">
            <v>19117500</v>
          </cell>
          <cell r="X358">
            <v>8042647700</v>
          </cell>
          <cell r="AK358">
            <v>2872396</v>
          </cell>
          <cell r="AL358">
            <v>217482</v>
          </cell>
        </row>
        <row r="359">
          <cell r="B359">
            <v>44112</v>
          </cell>
          <cell r="C359">
            <v>9641766200</v>
          </cell>
          <cell r="D359">
            <v>0</v>
          </cell>
          <cell r="E359">
            <v>417293000</v>
          </cell>
          <cell r="F359">
            <v>0</v>
          </cell>
          <cell r="G359">
            <v>10059059200</v>
          </cell>
          <cell r="H359">
            <v>2715946</v>
          </cell>
          <cell r="I359">
            <v>4029826200</v>
          </cell>
          <cell r="J359">
            <v>2039600000</v>
          </cell>
          <cell r="K359">
            <v>6069426200</v>
          </cell>
          <cell r="M359">
            <v>2260882000</v>
          </cell>
          <cell r="O359">
            <v>2260882000</v>
          </cell>
          <cell r="P359">
            <v>515709100</v>
          </cell>
          <cell r="R359">
            <v>515709100</v>
          </cell>
          <cell r="S359">
            <v>5321800</v>
          </cell>
          <cell r="V359">
            <v>32525100</v>
          </cell>
          <cell r="W359">
            <v>1076000000</v>
          </cell>
          <cell r="X359">
            <v>1108525100</v>
          </cell>
          <cell r="AK359">
            <v>1302714</v>
          </cell>
          <cell r="AL359">
            <v>148752</v>
          </cell>
        </row>
        <row r="360">
          <cell r="C360">
            <v>35009484700</v>
          </cell>
          <cell r="D360">
            <v>0</v>
          </cell>
          <cell r="E360">
            <v>417293000</v>
          </cell>
          <cell r="F360">
            <v>0</v>
          </cell>
          <cell r="G360">
            <v>35426777700</v>
          </cell>
          <cell r="H360">
            <v>9565230</v>
          </cell>
          <cell r="I360">
            <v>14042200900</v>
          </cell>
          <cell r="J360">
            <v>7877600000</v>
          </cell>
          <cell r="K360">
            <v>21919800900</v>
          </cell>
          <cell r="L360">
            <v>0</v>
          </cell>
          <cell r="M360">
            <v>5015893000</v>
          </cell>
          <cell r="N360">
            <v>0</v>
          </cell>
          <cell r="O360">
            <v>5015893000</v>
          </cell>
          <cell r="P360">
            <v>528442900</v>
          </cell>
          <cell r="Q360">
            <v>0</v>
          </cell>
          <cell r="R360">
            <v>528442900</v>
          </cell>
          <cell r="S360">
            <v>194848900</v>
          </cell>
          <cell r="V360">
            <v>32525100</v>
          </cell>
          <cell r="W360">
            <v>1076000000</v>
          </cell>
          <cell r="X360">
            <v>15787314600</v>
          </cell>
          <cell r="AK360">
            <v>6410103</v>
          </cell>
          <cell r="AL360">
            <v>718710</v>
          </cell>
        </row>
        <row r="361">
          <cell r="B361">
            <v>44113</v>
          </cell>
          <cell r="C361">
            <v>8486182600</v>
          </cell>
          <cell r="D361">
            <v>850111000</v>
          </cell>
          <cell r="E361">
            <v>0</v>
          </cell>
          <cell r="F361">
            <v>0</v>
          </cell>
          <cell r="G361">
            <v>9336293600</v>
          </cell>
          <cell r="H361">
            <v>2520799</v>
          </cell>
          <cell r="I361">
            <v>2120677500</v>
          </cell>
          <cell r="K361">
            <v>2120677500</v>
          </cell>
          <cell r="M361">
            <v>476464000</v>
          </cell>
          <cell r="O361">
            <v>476464000</v>
          </cell>
          <cell r="P361">
            <v>2078000</v>
          </cell>
          <cell r="R361">
            <v>2078000</v>
          </cell>
          <cell r="S361">
            <v>17304300</v>
          </cell>
          <cell r="V361">
            <v>2152462000</v>
          </cell>
          <cell r="X361">
            <v>2152462000</v>
          </cell>
          <cell r="AK361">
            <v>671274</v>
          </cell>
          <cell r="AL361">
            <v>121602</v>
          </cell>
        </row>
        <row r="362">
          <cell r="B362">
            <v>44116</v>
          </cell>
          <cell r="C362">
            <v>3018352200</v>
          </cell>
          <cell r="D362">
            <v>730718000</v>
          </cell>
          <cell r="E362">
            <v>0</v>
          </cell>
          <cell r="F362">
            <v>0</v>
          </cell>
          <cell r="G362">
            <v>3749070200</v>
          </cell>
          <cell r="H362">
            <v>1012249</v>
          </cell>
          <cell r="I362">
            <v>4401254500</v>
          </cell>
          <cell r="J362">
            <v>2948000000</v>
          </cell>
          <cell r="K362">
            <v>7349254500</v>
          </cell>
          <cell r="M362">
            <v>2080240000</v>
          </cell>
          <cell r="O362">
            <v>2080240000</v>
          </cell>
          <cell r="P362">
            <v>1258712700</v>
          </cell>
          <cell r="R362">
            <v>1258712700</v>
          </cell>
          <cell r="S362">
            <v>63462200</v>
          </cell>
          <cell r="V362">
            <v>4986400</v>
          </cell>
          <cell r="X362">
            <v>4986400</v>
          </cell>
          <cell r="AK362">
            <v>1378903</v>
          </cell>
          <cell r="AL362">
            <v>61443</v>
          </cell>
        </row>
        <row r="363">
          <cell r="B363">
            <v>44117</v>
          </cell>
          <cell r="C363">
            <v>10158230500</v>
          </cell>
          <cell r="D363">
            <v>0</v>
          </cell>
          <cell r="E363">
            <v>0</v>
          </cell>
          <cell r="F363">
            <v>0</v>
          </cell>
          <cell r="G363">
            <v>10158230500</v>
          </cell>
          <cell r="H363">
            <v>2742722</v>
          </cell>
          <cell r="J363">
            <v>441000000</v>
          </cell>
          <cell r="K363">
            <v>441000000</v>
          </cell>
          <cell r="M363">
            <v>2441710000</v>
          </cell>
          <cell r="N363">
            <v>1349000000</v>
          </cell>
          <cell r="O363">
            <v>3790710000</v>
          </cell>
          <cell r="R363">
            <v>0</v>
          </cell>
          <cell r="S363">
            <v>114400</v>
          </cell>
          <cell r="V363">
            <v>4765900</v>
          </cell>
          <cell r="W363">
            <v>434400000</v>
          </cell>
          <cell r="X363">
            <v>439165900</v>
          </cell>
          <cell r="AK363">
            <v>664975</v>
          </cell>
          <cell r="AL363">
            <v>60720</v>
          </cell>
        </row>
        <row r="364">
          <cell r="B364">
            <v>44118</v>
          </cell>
          <cell r="C364">
            <v>2057264800</v>
          </cell>
          <cell r="D364">
            <v>0</v>
          </cell>
          <cell r="E364">
            <v>0</v>
          </cell>
          <cell r="F364">
            <v>0</v>
          </cell>
          <cell r="G364">
            <v>2057264800</v>
          </cell>
          <cell r="H364">
            <v>555461</v>
          </cell>
          <cell r="I364">
            <v>6219996000</v>
          </cell>
          <cell r="J364">
            <v>5940000000</v>
          </cell>
          <cell r="K364">
            <v>12159996000</v>
          </cell>
          <cell r="M364">
            <v>960750000</v>
          </cell>
          <cell r="O364">
            <v>960750000</v>
          </cell>
          <cell r="P364">
            <v>1012829500</v>
          </cell>
          <cell r="R364">
            <v>1012829500</v>
          </cell>
          <cell r="S364">
            <v>12703700</v>
          </cell>
          <cell r="V364">
            <v>37226000</v>
          </cell>
          <cell r="X364">
            <v>37226000</v>
          </cell>
          <cell r="AK364">
            <v>1963094</v>
          </cell>
          <cell r="AL364">
            <v>168951</v>
          </cell>
        </row>
        <row r="365">
          <cell r="B365">
            <v>44119</v>
          </cell>
          <cell r="C365">
            <v>4377353700</v>
          </cell>
          <cell r="G365">
            <v>4377353700</v>
          </cell>
          <cell r="H365">
            <v>1181885</v>
          </cell>
          <cell r="I365">
            <v>6021261300</v>
          </cell>
          <cell r="J365">
            <v>12052000000</v>
          </cell>
          <cell r="K365">
            <v>18073261300</v>
          </cell>
          <cell r="O365">
            <v>0</v>
          </cell>
          <cell r="R365">
            <v>0</v>
          </cell>
          <cell r="S365">
            <v>1298100</v>
          </cell>
          <cell r="V365">
            <v>531487000</v>
          </cell>
          <cell r="X365">
            <v>531487000</v>
          </cell>
          <cell r="AK365">
            <v>2915558</v>
          </cell>
          <cell r="AL365">
            <v>231624</v>
          </cell>
        </row>
        <row r="366">
          <cell r="C366">
            <v>28097383800</v>
          </cell>
          <cell r="D366">
            <v>1580829000</v>
          </cell>
          <cell r="E366">
            <v>0</v>
          </cell>
          <cell r="F366">
            <v>0</v>
          </cell>
          <cell r="G366">
            <v>29678212800</v>
          </cell>
          <cell r="H366">
            <v>8013116</v>
          </cell>
          <cell r="I366">
            <v>18763189300</v>
          </cell>
          <cell r="J366">
            <v>21381000000</v>
          </cell>
          <cell r="K366">
            <v>40144189300</v>
          </cell>
          <cell r="L366">
            <v>0</v>
          </cell>
          <cell r="M366">
            <v>5959164000</v>
          </cell>
          <cell r="N366">
            <v>1349000000</v>
          </cell>
          <cell r="O366">
            <v>7308164000</v>
          </cell>
          <cell r="P366">
            <v>2273620200</v>
          </cell>
          <cell r="Q366">
            <v>0</v>
          </cell>
          <cell r="R366">
            <v>2273620200</v>
          </cell>
          <cell r="S366">
            <v>94882700</v>
          </cell>
          <cell r="V366">
            <v>2730927300</v>
          </cell>
          <cell r="W366">
            <v>434400000</v>
          </cell>
          <cell r="X366">
            <v>3165327300</v>
          </cell>
          <cell r="AK366">
            <v>7593804</v>
          </cell>
          <cell r="AL366">
            <v>644340</v>
          </cell>
        </row>
        <row r="367">
          <cell r="B367">
            <v>44120</v>
          </cell>
          <cell r="C367">
            <v>83796517700</v>
          </cell>
          <cell r="D367">
            <v>0</v>
          </cell>
          <cell r="E367">
            <v>0</v>
          </cell>
          <cell r="F367">
            <v>0</v>
          </cell>
          <cell r="G367">
            <v>83796517700</v>
          </cell>
          <cell r="H367">
            <v>22625060</v>
          </cell>
          <cell r="I367">
            <v>4578920600</v>
          </cell>
          <cell r="J367">
            <v>10578200000</v>
          </cell>
          <cell r="K367">
            <v>15157120600</v>
          </cell>
          <cell r="M367">
            <v>6304144500</v>
          </cell>
          <cell r="O367">
            <v>6304144500</v>
          </cell>
          <cell r="P367">
            <v>1061046600</v>
          </cell>
          <cell r="R367">
            <v>1061046600</v>
          </cell>
          <cell r="V367">
            <v>1499667400</v>
          </cell>
          <cell r="X367">
            <v>1499667400</v>
          </cell>
          <cell r="AK367">
            <v>3463980</v>
          </cell>
          <cell r="AL367">
            <v>335187</v>
          </cell>
        </row>
        <row r="368">
          <cell r="B368">
            <v>44123</v>
          </cell>
          <cell r="C368">
            <v>2675876300</v>
          </cell>
          <cell r="D368">
            <v>901726500</v>
          </cell>
          <cell r="E368">
            <v>0</v>
          </cell>
          <cell r="F368">
            <v>0</v>
          </cell>
          <cell r="G368">
            <v>3577602800</v>
          </cell>
          <cell r="H368">
            <v>965953</v>
          </cell>
          <cell r="I368">
            <v>3925177800</v>
          </cell>
          <cell r="K368">
            <v>3925177800</v>
          </cell>
          <cell r="M368">
            <v>889710000</v>
          </cell>
          <cell r="O368">
            <v>889710000</v>
          </cell>
          <cell r="R368">
            <v>0</v>
          </cell>
          <cell r="S368">
            <v>12120200</v>
          </cell>
          <cell r="V368">
            <v>3345554200</v>
          </cell>
          <cell r="X368">
            <v>3345554200</v>
          </cell>
          <cell r="AK368">
            <v>1124389</v>
          </cell>
          <cell r="AL368">
            <v>91260</v>
          </cell>
        </row>
        <row r="369">
          <cell r="B369">
            <v>44124</v>
          </cell>
          <cell r="C369">
            <v>20236864000</v>
          </cell>
          <cell r="D369">
            <v>1417850000</v>
          </cell>
          <cell r="E369">
            <v>0</v>
          </cell>
          <cell r="F369">
            <v>0</v>
          </cell>
          <cell r="G369">
            <v>21654714000</v>
          </cell>
          <cell r="H369">
            <v>5846773</v>
          </cell>
          <cell r="I369">
            <v>420018300</v>
          </cell>
          <cell r="J369">
            <v>1068984000</v>
          </cell>
          <cell r="K369">
            <v>1489002300</v>
          </cell>
          <cell r="M369">
            <v>5866408500</v>
          </cell>
          <cell r="O369">
            <v>5866408500</v>
          </cell>
          <cell r="R369">
            <v>0</v>
          </cell>
          <cell r="S369">
            <v>28174400</v>
          </cell>
          <cell r="V369">
            <v>8943000000</v>
          </cell>
          <cell r="X369">
            <v>8943000000</v>
          </cell>
          <cell r="AK369">
            <v>2486163</v>
          </cell>
          <cell r="AL369">
            <v>1293</v>
          </cell>
        </row>
        <row r="370">
          <cell r="B370">
            <v>44125</v>
          </cell>
          <cell r="C370">
            <v>80174500000</v>
          </cell>
          <cell r="D370">
            <v>0</v>
          </cell>
          <cell r="E370">
            <v>0</v>
          </cell>
          <cell r="F370">
            <v>0</v>
          </cell>
          <cell r="G370">
            <v>80174500000</v>
          </cell>
          <cell r="H370">
            <v>21647115</v>
          </cell>
          <cell r="I370">
            <v>4765049800</v>
          </cell>
          <cell r="K370">
            <v>4765049800</v>
          </cell>
          <cell r="M370">
            <v>25591500</v>
          </cell>
          <cell r="O370">
            <v>25591500</v>
          </cell>
          <cell r="R370">
            <v>0</v>
          </cell>
          <cell r="S370">
            <v>1410200</v>
          </cell>
          <cell r="V370">
            <v>4413160800</v>
          </cell>
          <cell r="X370">
            <v>4413160800</v>
          </cell>
          <cell r="AK370">
            <v>1312012</v>
          </cell>
          <cell r="AL370">
            <v>391578</v>
          </cell>
        </row>
        <row r="371">
          <cell r="B371">
            <v>44126</v>
          </cell>
          <cell r="C371">
            <v>0</v>
          </cell>
          <cell r="D371">
            <v>0</v>
          </cell>
          <cell r="E371">
            <v>904319500</v>
          </cell>
          <cell r="F371">
            <v>0</v>
          </cell>
          <cell r="G371">
            <v>904319500</v>
          </cell>
          <cell r="H371">
            <v>244166</v>
          </cell>
          <cell r="I371">
            <v>112154800</v>
          </cell>
          <cell r="J371">
            <v>3033000000</v>
          </cell>
          <cell r="K371">
            <v>3145154800</v>
          </cell>
          <cell r="M371">
            <v>760200000</v>
          </cell>
          <cell r="O371">
            <v>760200000</v>
          </cell>
          <cell r="R371">
            <v>0</v>
          </cell>
          <cell r="S371">
            <v>2924635100</v>
          </cell>
          <cell r="V371">
            <v>3719270000</v>
          </cell>
          <cell r="X371">
            <v>3719270000</v>
          </cell>
          <cell r="AK371">
            <v>1836057</v>
          </cell>
          <cell r="AL371">
            <v>132</v>
          </cell>
        </row>
        <row r="372">
          <cell r="C372">
            <v>186883758000</v>
          </cell>
          <cell r="D372">
            <v>2319576500</v>
          </cell>
          <cell r="E372">
            <v>904319500</v>
          </cell>
          <cell r="F372">
            <v>0</v>
          </cell>
          <cell r="G372">
            <v>190107654000</v>
          </cell>
          <cell r="H372">
            <v>51329067</v>
          </cell>
          <cell r="I372">
            <v>13801321300</v>
          </cell>
          <cell r="J372">
            <v>14680184000</v>
          </cell>
          <cell r="K372">
            <v>28481505300</v>
          </cell>
          <cell r="L372">
            <v>0</v>
          </cell>
          <cell r="M372">
            <v>13846054500</v>
          </cell>
          <cell r="N372">
            <v>0</v>
          </cell>
          <cell r="O372">
            <v>13846054500</v>
          </cell>
          <cell r="P372">
            <v>1061046600</v>
          </cell>
          <cell r="Q372">
            <v>0</v>
          </cell>
          <cell r="R372">
            <v>1061046600</v>
          </cell>
          <cell r="S372">
            <v>2966339900</v>
          </cell>
          <cell r="V372">
            <v>21920652400</v>
          </cell>
          <cell r="W372">
            <v>0</v>
          </cell>
          <cell r="X372">
            <v>21920652400</v>
          </cell>
          <cell r="AK372">
            <v>10222601</v>
          </cell>
          <cell r="AL372">
            <v>819450</v>
          </cell>
        </row>
        <row r="373">
          <cell r="B373">
            <v>44127</v>
          </cell>
          <cell r="C373">
            <v>4707890200</v>
          </cell>
          <cell r="D373">
            <v>0</v>
          </cell>
          <cell r="E373">
            <v>0</v>
          </cell>
          <cell r="F373">
            <v>0</v>
          </cell>
          <cell r="G373">
            <v>4707890200</v>
          </cell>
          <cell r="H373">
            <v>1271130</v>
          </cell>
          <cell r="I373">
            <v>5012802500</v>
          </cell>
          <cell r="J373">
            <v>6663513400</v>
          </cell>
          <cell r="K373">
            <v>11676315900</v>
          </cell>
          <cell r="M373">
            <v>4297429300</v>
          </cell>
          <cell r="O373">
            <v>4297429300</v>
          </cell>
          <cell r="R373">
            <v>0</v>
          </cell>
          <cell r="S373">
            <v>1551400</v>
          </cell>
          <cell r="V373">
            <v>2295977400</v>
          </cell>
          <cell r="X373">
            <v>2295977400</v>
          </cell>
          <cell r="AK373">
            <v>2618493</v>
          </cell>
          <cell r="AL373">
            <v>99</v>
          </cell>
        </row>
        <row r="374">
          <cell r="B374">
            <v>44130</v>
          </cell>
          <cell r="C374">
            <v>8995193000</v>
          </cell>
          <cell r="D374">
            <v>0</v>
          </cell>
          <cell r="E374">
            <v>896708000</v>
          </cell>
          <cell r="F374">
            <v>0</v>
          </cell>
          <cell r="G374">
            <v>9891901000</v>
          </cell>
          <cell r="H374">
            <v>2670813</v>
          </cell>
          <cell r="I374">
            <v>3765428100</v>
          </cell>
          <cell r="J374">
            <v>11004000000</v>
          </cell>
          <cell r="K374">
            <v>14769428100</v>
          </cell>
          <cell r="M374">
            <v>2712625200</v>
          </cell>
          <cell r="O374">
            <v>2712625200</v>
          </cell>
          <cell r="P374">
            <v>1142203200</v>
          </cell>
          <cell r="R374">
            <v>1142203200</v>
          </cell>
          <cell r="S374">
            <v>26921400</v>
          </cell>
          <cell r="V374">
            <v>3136100</v>
          </cell>
          <cell r="X374">
            <v>3136100</v>
          </cell>
          <cell r="AK374">
            <v>2809118</v>
          </cell>
          <cell r="AL374">
            <v>61164</v>
          </cell>
        </row>
        <row r="375">
          <cell r="B375">
            <v>44131</v>
          </cell>
          <cell r="C375">
            <v>21030906500</v>
          </cell>
          <cell r="D375">
            <v>0</v>
          </cell>
          <cell r="E375">
            <v>676564000</v>
          </cell>
          <cell r="F375">
            <v>0</v>
          </cell>
          <cell r="G375">
            <v>21707470500</v>
          </cell>
          <cell r="H375">
            <v>5861017</v>
          </cell>
          <cell r="I375">
            <v>9032012500</v>
          </cell>
          <cell r="J375">
            <v>10258744000</v>
          </cell>
          <cell r="K375">
            <v>19290756500</v>
          </cell>
          <cell r="M375">
            <v>3482126100</v>
          </cell>
          <cell r="O375">
            <v>3482126100</v>
          </cell>
          <cell r="P375">
            <v>415072000</v>
          </cell>
          <cell r="R375">
            <v>415072000</v>
          </cell>
          <cell r="S375">
            <v>2364400</v>
          </cell>
          <cell r="V375">
            <v>19075300</v>
          </cell>
          <cell r="X375">
            <v>19075300</v>
          </cell>
          <cell r="AK375">
            <v>3246788</v>
          </cell>
          <cell r="AL375">
            <v>198009</v>
          </cell>
        </row>
        <row r="376">
          <cell r="B376">
            <v>44132</v>
          </cell>
          <cell r="C376">
            <v>17210202500</v>
          </cell>
          <cell r="D376">
            <v>0</v>
          </cell>
          <cell r="E376">
            <v>0</v>
          </cell>
          <cell r="F376">
            <v>384600000</v>
          </cell>
          <cell r="G376">
            <v>17594802500</v>
          </cell>
          <cell r="H376">
            <v>4750597</v>
          </cell>
          <cell r="I376">
            <v>7607868900</v>
          </cell>
          <cell r="J376">
            <v>16718000000</v>
          </cell>
          <cell r="K376">
            <v>24325868900</v>
          </cell>
          <cell r="M376">
            <v>3270689900</v>
          </cell>
          <cell r="N376">
            <v>8296000000</v>
          </cell>
          <cell r="O376">
            <v>11566689900</v>
          </cell>
          <cell r="P376">
            <v>106500</v>
          </cell>
          <cell r="R376">
            <v>106500</v>
          </cell>
          <cell r="S376">
            <v>20115400</v>
          </cell>
          <cell r="V376">
            <v>11656000</v>
          </cell>
          <cell r="X376">
            <v>11656000</v>
          </cell>
          <cell r="AK376">
            <v>5683135</v>
          </cell>
          <cell r="AL376">
            <v>300096</v>
          </cell>
        </row>
        <row r="377">
          <cell r="B377">
            <v>44133</v>
          </cell>
          <cell r="C377">
            <v>18616091900</v>
          </cell>
          <cell r="D377">
            <v>1664492500</v>
          </cell>
          <cell r="E377">
            <v>317753000</v>
          </cell>
          <cell r="F377">
            <v>0</v>
          </cell>
          <cell r="G377">
            <v>20598337400</v>
          </cell>
          <cell r="H377">
            <v>5561551</v>
          </cell>
          <cell r="I377">
            <v>4135593600</v>
          </cell>
          <cell r="J377">
            <v>7117780000</v>
          </cell>
          <cell r="K377">
            <v>11253373600</v>
          </cell>
          <cell r="M377">
            <v>6869600</v>
          </cell>
          <cell r="O377">
            <v>6869600</v>
          </cell>
          <cell r="R377">
            <v>0</v>
          </cell>
          <cell r="S377">
            <v>26016000</v>
          </cell>
          <cell r="V377">
            <v>9754600</v>
          </cell>
          <cell r="X377">
            <v>9754600</v>
          </cell>
          <cell r="AK377">
            <v>1735025</v>
          </cell>
          <cell r="AL377">
            <v>291627</v>
          </cell>
        </row>
        <row r="378">
          <cell r="C378">
            <v>70560284100</v>
          </cell>
          <cell r="D378">
            <v>1664492500</v>
          </cell>
          <cell r="E378">
            <v>1891025000</v>
          </cell>
          <cell r="F378">
            <v>384600000</v>
          </cell>
          <cell r="G378">
            <v>74500401600</v>
          </cell>
          <cell r="H378">
            <v>20115108</v>
          </cell>
          <cell r="I378">
            <v>29553705600</v>
          </cell>
          <cell r="J378">
            <v>51762037400</v>
          </cell>
          <cell r="K378">
            <v>81315743000</v>
          </cell>
          <cell r="L378">
            <v>0</v>
          </cell>
          <cell r="M378">
            <v>13769740100</v>
          </cell>
          <cell r="N378">
            <v>8296000000</v>
          </cell>
          <cell r="O378">
            <v>22065740100</v>
          </cell>
          <cell r="P378">
            <v>1557381700</v>
          </cell>
          <cell r="Q378">
            <v>0</v>
          </cell>
          <cell r="R378">
            <v>1557381700</v>
          </cell>
          <cell r="S378">
            <v>76968600</v>
          </cell>
          <cell r="V378">
            <v>2339599400</v>
          </cell>
          <cell r="W378">
            <v>0</v>
          </cell>
          <cell r="X378">
            <v>2339599400</v>
          </cell>
          <cell r="AK378">
            <v>16092559</v>
          </cell>
          <cell r="AL378">
            <v>850995</v>
          </cell>
        </row>
        <row r="379">
          <cell r="B379">
            <v>44134</v>
          </cell>
          <cell r="C379">
            <v>23889173800</v>
          </cell>
          <cell r="D379">
            <v>1735162500</v>
          </cell>
          <cell r="E379">
            <v>0</v>
          </cell>
          <cell r="F379">
            <v>0</v>
          </cell>
          <cell r="G379">
            <v>25624336300</v>
          </cell>
          <cell r="H379">
            <v>6918571</v>
          </cell>
          <cell r="I379">
            <v>1521148800</v>
          </cell>
          <cell r="J379">
            <v>2961000000</v>
          </cell>
          <cell r="K379">
            <v>4482148800</v>
          </cell>
          <cell r="M379">
            <v>2552711200</v>
          </cell>
          <cell r="O379">
            <v>2552711200</v>
          </cell>
          <cell r="R379">
            <v>0</v>
          </cell>
          <cell r="S379">
            <v>98201100</v>
          </cell>
          <cell r="V379">
            <v>1861641500</v>
          </cell>
          <cell r="X379">
            <v>1861641500</v>
          </cell>
          <cell r="AK379">
            <v>1325729</v>
          </cell>
          <cell r="AL379">
            <v>340212</v>
          </cell>
        </row>
        <row r="380">
          <cell r="B380">
            <v>44137</v>
          </cell>
          <cell r="C380">
            <v>10081360000</v>
          </cell>
          <cell r="D380">
            <v>0</v>
          </cell>
          <cell r="E380">
            <v>0</v>
          </cell>
          <cell r="F380">
            <v>0</v>
          </cell>
          <cell r="G380">
            <v>10081360000</v>
          </cell>
          <cell r="H380">
            <v>2721967</v>
          </cell>
          <cell r="I380">
            <v>4516174000</v>
          </cell>
          <cell r="K380">
            <v>4516174000</v>
          </cell>
          <cell r="M380">
            <v>141479200</v>
          </cell>
          <cell r="O380">
            <v>141479200</v>
          </cell>
          <cell r="P380">
            <v>10440000</v>
          </cell>
          <cell r="R380">
            <v>10440000</v>
          </cell>
          <cell r="S380">
            <v>2096500</v>
          </cell>
          <cell r="V380">
            <v>1669292000</v>
          </cell>
          <cell r="X380">
            <v>1669292000</v>
          </cell>
          <cell r="AK380">
            <v>805004</v>
          </cell>
          <cell r="AL380">
            <v>25689</v>
          </cell>
        </row>
        <row r="381">
          <cell r="B381">
            <v>44138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3033941900</v>
          </cell>
          <cell r="K381">
            <v>3033941900</v>
          </cell>
          <cell r="M381">
            <v>916500000</v>
          </cell>
          <cell r="O381">
            <v>916500000</v>
          </cell>
          <cell r="P381">
            <v>0</v>
          </cell>
          <cell r="R381">
            <v>0</v>
          </cell>
          <cell r="S381">
            <v>116100</v>
          </cell>
          <cell r="V381">
            <v>5904981900</v>
          </cell>
          <cell r="X381">
            <v>5904981900</v>
          </cell>
          <cell r="AK381">
            <v>1489565</v>
          </cell>
          <cell r="AL381">
            <v>99213</v>
          </cell>
        </row>
        <row r="382">
          <cell r="B382">
            <v>44139</v>
          </cell>
          <cell r="C382">
            <v>4542241200</v>
          </cell>
          <cell r="D382">
            <v>0</v>
          </cell>
          <cell r="E382">
            <v>0</v>
          </cell>
          <cell r="F382">
            <v>0</v>
          </cell>
          <cell r="G382">
            <v>4542241200</v>
          </cell>
          <cell r="H382">
            <v>1226405</v>
          </cell>
          <cell r="I382">
            <v>4786122200</v>
          </cell>
          <cell r="K382">
            <v>4786122200</v>
          </cell>
          <cell r="M382">
            <v>0</v>
          </cell>
          <cell r="O382">
            <v>0</v>
          </cell>
          <cell r="P382">
            <v>0</v>
          </cell>
          <cell r="R382">
            <v>0</v>
          </cell>
          <cell r="S382">
            <v>37620400</v>
          </cell>
          <cell r="V382">
            <v>8186300</v>
          </cell>
          <cell r="X382">
            <v>8186300</v>
          </cell>
          <cell r="AK382">
            <v>525146</v>
          </cell>
          <cell r="AL382">
            <v>60081</v>
          </cell>
        </row>
        <row r="383">
          <cell r="B383">
            <v>44140</v>
          </cell>
          <cell r="C383">
            <v>0</v>
          </cell>
          <cell r="D383">
            <v>786538000</v>
          </cell>
          <cell r="E383">
            <v>0</v>
          </cell>
          <cell r="F383">
            <v>0</v>
          </cell>
          <cell r="G383">
            <v>786538000</v>
          </cell>
          <cell r="H383">
            <v>212365</v>
          </cell>
          <cell r="I383">
            <v>4594432800</v>
          </cell>
          <cell r="K383">
            <v>4594432800</v>
          </cell>
          <cell r="M383">
            <v>282096000</v>
          </cell>
          <cell r="O383">
            <v>282096000</v>
          </cell>
          <cell r="P383">
            <v>0</v>
          </cell>
          <cell r="R383">
            <v>0</v>
          </cell>
          <cell r="S383">
            <v>24633000</v>
          </cell>
          <cell r="V383">
            <v>944768700</v>
          </cell>
          <cell r="W383">
            <v>2925000000</v>
          </cell>
          <cell r="X383">
            <v>3869768700</v>
          </cell>
          <cell r="AK383">
            <v>1227657</v>
          </cell>
          <cell r="AL383">
            <v>96903</v>
          </cell>
        </row>
        <row r="384">
          <cell r="C384">
            <v>38512775000</v>
          </cell>
          <cell r="D384">
            <v>2521700500</v>
          </cell>
          <cell r="E384">
            <v>0</v>
          </cell>
          <cell r="F384">
            <v>0</v>
          </cell>
          <cell r="G384">
            <v>41034475500</v>
          </cell>
          <cell r="H384">
            <v>11079308</v>
          </cell>
          <cell r="I384">
            <v>18451819700</v>
          </cell>
          <cell r="J384">
            <v>2961000000</v>
          </cell>
          <cell r="K384">
            <v>21412819700</v>
          </cell>
          <cell r="L384">
            <v>0</v>
          </cell>
          <cell r="M384">
            <v>3892786400</v>
          </cell>
          <cell r="N384">
            <v>0</v>
          </cell>
          <cell r="O384">
            <v>3892786400</v>
          </cell>
          <cell r="P384">
            <v>10440000</v>
          </cell>
          <cell r="Q384">
            <v>0</v>
          </cell>
          <cell r="R384">
            <v>10440000</v>
          </cell>
          <cell r="S384">
            <v>162667100</v>
          </cell>
          <cell r="V384">
            <v>10388870400</v>
          </cell>
          <cell r="W384">
            <v>2925000000</v>
          </cell>
          <cell r="X384">
            <v>13313870400</v>
          </cell>
          <cell r="AK384">
            <v>5373101</v>
          </cell>
          <cell r="AL384">
            <v>622098</v>
          </cell>
        </row>
        <row r="385">
          <cell r="B385">
            <v>44141</v>
          </cell>
          <cell r="C385">
            <v>5716627000</v>
          </cell>
          <cell r="D385">
            <v>0</v>
          </cell>
          <cell r="E385">
            <v>0</v>
          </cell>
          <cell r="F385">
            <v>0</v>
          </cell>
          <cell r="G385">
            <v>5716627000</v>
          </cell>
          <cell r="H385">
            <v>1543489</v>
          </cell>
          <cell r="I385">
            <v>27434300</v>
          </cell>
          <cell r="K385">
            <v>27434300</v>
          </cell>
          <cell r="M385">
            <v>4818672700</v>
          </cell>
          <cell r="O385">
            <v>4818672700</v>
          </cell>
          <cell r="R385">
            <v>0</v>
          </cell>
          <cell r="S385">
            <v>8504500</v>
          </cell>
          <cell r="V385">
            <v>669000</v>
          </cell>
          <cell r="X385">
            <v>669000</v>
          </cell>
          <cell r="AK385">
            <v>525031</v>
          </cell>
          <cell r="AL385">
            <v>2211</v>
          </cell>
        </row>
        <row r="386">
          <cell r="B386">
            <v>44144</v>
          </cell>
          <cell r="C386">
            <v>25130328000</v>
          </cell>
          <cell r="D386">
            <v>773939500</v>
          </cell>
          <cell r="E386">
            <v>0</v>
          </cell>
          <cell r="F386">
            <v>0</v>
          </cell>
          <cell r="G386">
            <v>25904267500</v>
          </cell>
          <cell r="H386">
            <v>6994152</v>
          </cell>
          <cell r="I386">
            <v>7752689800</v>
          </cell>
          <cell r="K386">
            <v>7752689800</v>
          </cell>
          <cell r="M386">
            <v>3399030000</v>
          </cell>
          <cell r="N386">
            <v>1403000000</v>
          </cell>
          <cell r="O386">
            <v>4802030000</v>
          </cell>
          <cell r="P386">
            <v>1060000</v>
          </cell>
          <cell r="R386">
            <v>1060000</v>
          </cell>
          <cell r="S386">
            <v>2826400</v>
          </cell>
          <cell r="V386">
            <v>2203951200</v>
          </cell>
          <cell r="X386">
            <v>2203951200</v>
          </cell>
          <cell r="AK386">
            <v>1854260</v>
          </cell>
          <cell r="AL386">
            <v>29256</v>
          </cell>
        </row>
        <row r="387">
          <cell r="B387">
            <v>44145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5156908700</v>
          </cell>
          <cell r="K387">
            <v>5156908700</v>
          </cell>
          <cell r="M387">
            <v>837293400</v>
          </cell>
          <cell r="O387">
            <v>837293400</v>
          </cell>
          <cell r="P387">
            <v>3213121500</v>
          </cell>
          <cell r="R387">
            <v>3213121500</v>
          </cell>
          <cell r="S387">
            <v>3566000</v>
          </cell>
          <cell r="V387">
            <v>5447884600</v>
          </cell>
          <cell r="X387">
            <v>5447884600</v>
          </cell>
          <cell r="AK387">
            <v>1975652</v>
          </cell>
          <cell r="AL387">
            <v>77793</v>
          </cell>
        </row>
        <row r="388">
          <cell r="B388">
            <v>44146</v>
          </cell>
          <cell r="C388">
            <v>4604143000</v>
          </cell>
          <cell r="D388">
            <v>3382005000</v>
          </cell>
          <cell r="E388">
            <v>0</v>
          </cell>
          <cell r="F388">
            <v>0</v>
          </cell>
          <cell r="G388">
            <v>7986148000</v>
          </cell>
          <cell r="H388">
            <v>2156260</v>
          </cell>
          <cell r="I388">
            <v>3641034300</v>
          </cell>
          <cell r="J388">
            <v>15416500000</v>
          </cell>
          <cell r="K388">
            <v>19057534300</v>
          </cell>
          <cell r="M388">
            <v>1524973600</v>
          </cell>
          <cell r="O388">
            <v>1524973600</v>
          </cell>
          <cell r="P388">
            <v>1065300000</v>
          </cell>
          <cell r="R388">
            <v>1065300000</v>
          </cell>
          <cell r="S388">
            <v>45771200</v>
          </cell>
          <cell r="V388">
            <v>37575400</v>
          </cell>
          <cell r="X388">
            <v>37575400</v>
          </cell>
          <cell r="AK388">
            <v>3462954</v>
          </cell>
          <cell r="AL388">
            <v>367770</v>
          </cell>
        </row>
        <row r="389">
          <cell r="B389">
            <v>44147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M389">
            <v>93814500</v>
          </cell>
          <cell r="O389">
            <v>93814500</v>
          </cell>
          <cell r="P389">
            <v>108300</v>
          </cell>
          <cell r="R389">
            <v>108300</v>
          </cell>
          <cell r="S389">
            <v>25487000</v>
          </cell>
          <cell r="V389">
            <v>15619300</v>
          </cell>
          <cell r="X389">
            <v>15619300</v>
          </cell>
          <cell r="AK389">
            <v>17543</v>
          </cell>
          <cell r="AL389">
            <v>3033</v>
          </cell>
        </row>
        <row r="390">
          <cell r="C390">
            <v>35451098000</v>
          </cell>
          <cell r="D390">
            <v>4155944500</v>
          </cell>
          <cell r="E390">
            <v>0</v>
          </cell>
          <cell r="F390">
            <v>0</v>
          </cell>
          <cell r="G390">
            <v>39607042500</v>
          </cell>
          <cell r="H390">
            <v>10693901</v>
          </cell>
          <cell r="I390">
            <v>16578067100</v>
          </cell>
          <cell r="J390">
            <v>15416500000</v>
          </cell>
          <cell r="K390">
            <v>31994567100</v>
          </cell>
          <cell r="L390">
            <v>0</v>
          </cell>
          <cell r="M390">
            <v>10673784200</v>
          </cell>
          <cell r="N390">
            <v>1403000000</v>
          </cell>
          <cell r="O390">
            <v>12076784200</v>
          </cell>
          <cell r="P390">
            <v>4279589800</v>
          </cell>
          <cell r="Q390">
            <v>0</v>
          </cell>
          <cell r="R390">
            <v>4279589800</v>
          </cell>
          <cell r="S390">
            <v>86155100</v>
          </cell>
          <cell r="V390">
            <v>7705699500</v>
          </cell>
          <cell r="W390">
            <v>0</v>
          </cell>
          <cell r="X390">
            <v>7705699500</v>
          </cell>
          <cell r="AK390">
            <v>7835440</v>
          </cell>
          <cell r="AL390">
            <v>480063</v>
          </cell>
        </row>
        <row r="391">
          <cell r="B391">
            <v>44148</v>
          </cell>
          <cell r="C391">
            <v>0</v>
          </cell>
          <cell r="D391">
            <v>1808392000</v>
          </cell>
          <cell r="E391">
            <v>0</v>
          </cell>
          <cell r="F391">
            <v>0</v>
          </cell>
          <cell r="G391">
            <v>1808392000</v>
          </cell>
          <cell r="H391">
            <v>488266</v>
          </cell>
          <cell r="J391">
            <v>33941200000</v>
          </cell>
          <cell r="K391">
            <v>33941200000</v>
          </cell>
          <cell r="M391">
            <v>1058256600</v>
          </cell>
          <cell r="N391">
            <v>395550000</v>
          </cell>
          <cell r="O391">
            <v>1453806600</v>
          </cell>
          <cell r="P391">
            <v>110000</v>
          </cell>
          <cell r="R391">
            <v>110000</v>
          </cell>
          <cell r="S391">
            <v>241600</v>
          </cell>
          <cell r="V391">
            <v>1252800</v>
          </cell>
          <cell r="X391">
            <v>1252800</v>
          </cell>
          <cell r="AK391">
            <v>6295188</v>
          </cell>
          <cell r="AL391">
            <v>330105</v>
          </cell>
        </row>
        <row r="392">
          <cell r="B392">
            <v>44151</v>
          </cell>
          <cell r="C392">
            <v>48733864500</v>
          </cell>
          <cell r="D392">
            <v>1223317500</v>
          </cell>
          <cell r="E392">
            <v>0</v>
          </cell>
          <cell r="F392">
            <v>0</v>
          </cell>
          <cell r="G392">
            <v>49957182000</v>
          </cell>
          <cell r="H392">
            <v>13488439</v>
          </cell>
          <cell r="I392">
            <v>6516308400</v>
          </cell>
          <cell r="K392">
            <v>6516308400</v>
          </cell>
          <cell r="M392">
            <v>2990790700</v>
          </cell>
          <cell r="N392">
            <v>1463000000</v>
          </cell>
          <cell r="O392">
            <v>4453790700</v>
          </cell>
          <cell r="P392">
            <v>330000</v>
          </cell>
          <cell r="R392">
            <v>330000</v>
          </cell>
          <cell r="S392">
            <v>3723100</v>
          </cell>
          <cell r="V392">
            <v>5361600</v>
          </cell>
          <cell r="X392">
            <v>5361600</v>
          </cell>
          <cell r="AK392">
            <v>1291778</v>
          </cell>
          <cell r="AL392">
            <v>206787</v>
          </cell>
        </row>
        <row r="393">
          <cell r="B393">
            <v>44152</v>
          </cell>
          <cell r="C393">
            <v>13782689500</v>
          </cell>
          <cell r="D393">
            <v>4799337000</v>
          </cell>
          <cell r="E393">
            <v>0</v>
          </cell>
          <cell r="F393">
            <v>0</v>
          </cell>
          <cell r="G393">
            <v>18582026500</v>
          </cell>
          <cell r="H393">
            <v>5017147</v>
          </cell>
          <cell r="I393">
            <v>102280500</v>
          </cell>
          <cell r="J393">
            <v>42347000000</v>
          </cell>
          <cell r="K393">
            <v>42449280500</v>
          </cell>
          <cell r="M393">
            <v>1545242100</v>
          </cell>
          <cell r="O393">
            <v>1545242100</v>
          </cell>
          <cell r="P393">
            <v>110800</v>
          </cell>
          <cell r="R393">
            <v>110800</v>
          </cell>
          <cell r="S393">
            <v>6976000</v>
          </cell>
          <cell r="V393">
            <v>23467700</v>
          </cell>
          <cell r="X393">
            <v>23467700</v>
          </cell>
          <cell r="AK393">
            <v>7805884</v>
          </cell>
          <cell r="AL393">
            <v>433788</v>
          </cell>
        </row>
        <row r="394">
          <cell r="B394">
            <v>44153</v>
          </cell>
          <cell r="C394">
            <v>34989448000</v>
          </cell>
          <cell r="D394">
            <v>0</v>
          </cell>
          <cell r="E394">
            <v>0</v>
          </cell>
          <cell r="F394">
            <v>0</v>
          </cell>
          <cell r="G394">
            <v>34989448000</v>
          </cell>
          <cell r="H394">
            <v>9447151</v>
          </cell>
          <cell r="I394">
            <v>3624955800</v>
          </cell>
          <cell r="K394">
            <v>3624955800</v>
          </cell>
          <cell r="M394">
            <v>789325100</v>
          </cell>
          <cell r="O394">
            <v>789325100</v>
          </cell>
          <cell r="P394">
            <v>111000</v>
          </cell>
          <cell r="R394">
            <v>111000</v>
          </cell>
          <cell r="S394">
            <v>6478400</v>
          </cell>
          <cell r="V394">
            <v>1691512500</v>
          </cell>
          <cell r="X394">
            <v>1691512500</v>
          </cell>
          <cell r="AK394">
            <v>782393</v>
          </cell>
          <cell r="AL394">
            <v>270588</v>
          </cell>
        </row>
        <row r="395">
          <cell r="B395">
            <v>44154</v>
          </cell>
          <cell r="C395">
            <v>26260240500</v>
          </cell>
          <cell r="D395">
            <v>17177102500</v>
          </cell>
          <cell r="E395">
            <v>499410000</v>
          </cell>
          <cell r="F395">
            <v>0</v>
          </cell>
          <cell r="G395">
            <v>43936753000</v>
          </cell>
          <cell r="H395">
            <v>11862923</v>
          </cell>
          <cell r="I395">
            <v>6294000000</v>
          </cell>
          <cell r="K395">
            <v>6294000000</v>
          </cell>
          <cell r="O395">
            <v>0</v>
          </cell>
          <cell r="R395">
            <v>0</v>
          </cell>
          <cell r="S395">
            <v>1693400</v>
          </cell>
          <cell r="V395">
            <v>117000</v>
          </cell>
          <cell r="X395">
            <v>117000</v>
          </cell>
          <cell r="AK395">
            <v>680078</v>
          </cell>
          <cell r="AL395">
            <v>339081</v>
          </cell>
        </row>
        <row r="396">
          <cell r="C396">
            <v>123766242500</v>
          </cell>
          <cell r="D396">
            <v>25008149000</v>
          </cell>
          <cell r="E396">
            <v>499410000</v>
          </cell>
          <cell r="F396">
            <v>0</v>
          </cell>
          <cell r="G396">
            <v>149273801500</v>
          </cell>
          <cell r="H396">
            <v>40303926</v>
          </cell>
          <cell r="I396">
            <v>16537544700</v>
          </cell>
          <cell r="J396">
            <v>76288200000</v>
          </cell>
          <cell r="K396">
            <v>92825744700</v>
          </cell>
          <cell r="L396">
            <v>0</v>
          </cell>
          <cell r="M396">
            <v>6383614500</v>
          </cell>
          <cell r="N396">
            <v>1858550000</v>
          </cell>
          <cell r="O396">
            <v>8242164500</v>
          </cell>
          <cell r="P396">
            <v>661800</v>
          </cell>
          <cell r="Q396">
            <v>0</v>
          </cell>
          <cell r="R396">
            <v>661800</v>
          </cell>
          <cell r="S396">
            <v>19112500</v>
          </cell>
          <cell r="V396">
            <v>1721711600</v>
          </cell>
          <cell r="W396">
            <v>0</v>
          </cell>
          <cell r="X396">
            <v>1721711600</v>
          </cell>
          <cell r="AK396">
            <v>16855321</v>
          </cell>
          <cell r="AL396">
            <v>1580349</v>
          </cell>
        </row>
        <row r="397">
          <cell r="B397">
            <v>44155</v>
          </cell>
          <cell r="C397">
            <v>7533277500</v>
          </cell>
          <cell r="D397">
            <v>0</v>
          </cell>
          <cell r="E397">
            <v>0</v>
          </cell>
          <cell r="F397">
            <v>0</v>
          </cell>
          <cell r="G397">
            <v>7533277500</v>
          </cell>
          <cell r="H397">
            <v>2033985</v>
          </cell>
          <cell r="I397">
            <v>3143228000</v>
          </cell>
          <cell r="K397">
            <v>3143228000</v>
          </cell>
          <cell r="M397">
            <v>731950000</v>
          </cell>
          <cell r="N397">
            <v>1466000000</v>
          </cell>
          <cell r="O397">
            <v>2197950000</v>
          </cell>
          <cell r="P397">
            <v>560607400</v>
          </cell>
          <cell r="R397">
            <v>560607400</v>
          </cell>
          <cell r="S397">
            <v>20181800</v>
          </cell>
          <cell r="V397">
            <v>931308100</v>
          </cell>
          <cell r="X397">
            <v>931308100</v>
          </cell>
          <cell r="AK397">
            <v>914213</v>
          </cell>
          <cell r="AL397">
            <v>31356</v>
          </cell>
        </row>
        <row r="398">
          <cell r="B398">
            <v>44158</v>
          </cell>
          <cell r="C398">
            <v>3312000</v>
          </cell>
          <cell r="D398">
            <v>0</v>
          </cell>
          <cell r="E398">
            <v>0</v>
          </cell>
          <cell r="F398">
            <v>0</v>
          </cell>
          <cell r="G398">
            <v>3312000</v>
          </cell>
          <cell r="H398">
            <v>894</v>
          </cell>
          <cell r="I398">
            <v>6864600500</v>
          </cell>
          <cell r="J398">
            <v>20715500000</v>
          </cell>
          <cell r="K398">
            <v>27580100500</v>
          </cell>
          <cell r="M398">
            <v>151000</v>
          </cell>
          <cell r="N398">
            <v>427630000</v>
          </cell>
          <cell r="O398">
            <v>427781000</v>
          </cell>
          <cell r="P398">
            <v>113500</v>
          </cell>
          <cell r="R398">
            <v>113500</v>
          </cell>
          <cell r="S398">
            <v>91494500</v>
          </cell>
          <cell r="V398">
            <v>230222700</v>
          </cell>
          <cell r="X398">
            <v>230222700</v>
          </cell>
          <cell r="AK398">
            <v>4605078</v>
          </cell>
          <cell r="AL398">
            <v>286695</v>
          </cell>
        </row>
        <row r="399">
          <cell r="B399">
            <v>44159</v>
          </cell>
          <cell r="C399">
            <v>13298397500</v>
          </cell>
          <cell r="D399">
            <v>1525684000</v>
          </cell>
          <cell r="E399">
            <v>0</v>
          </cell>
          <cell r="F399">
            <v>0</v>
          </cell>
          <cell r="G399">
            <v>14824081500</v>
          </cell>
          <cell r="H399">
            <v>4002502</v>
          </cell>
          <cell r="I399">
            <v>7971075000</v>
          </cell>
          <cell r="J399">
            <v>6400000000</v>
          </cell>
          <cell r="K399">
            <v>14371075000</v>
          </cell>
          <cell r="M399">
            <v>534724000</v>
          </cell>
          <cell r="O399">
            <v>534724000</v>
          </cell>
          <cell r="P399">
            <v>1138544100</v>
          </cell>
          <cell r="R399">
            <v>1138544100</v>
          </cell>
          <cell r="S399">
            <v>6700400</v>
          </cell>
          <cell r="V399">
            <v>2854193200</v>
          </cell>
          <cell r="X399">
            <v>2854193200</v>
          </cell>
          <cell r="AK399">
            <v>2708550</v>
          </cell>
          <cell r="AL399">
            <v>186795</v>
          </cell>
        </row>
        <row r="400">
          <cell r="B400">
            <v>44160</v>
          </cell>
          <cell r="C400">
            <v>25217529000</v>
          </cell>
          <cell r="D400">
            <v>1899915000</v>
          </cell>
          <cell r="E400">
            <v>0</v>
          </cell>
          <cell r="F400">
            <v>0</v>
          </cell>
          <cell r="G400">
            <v>27117444000</v>
          </cell>
          <cell r="H400">
            <v>7321710</v>
          </cell>
          <cell r="I400">
            <v>2917731300</v>
          </cell>
          <cell r="J400">
            <v>14506000000</v>
          </cell>
          <cell r="K400">
            <v>17423731300</v>
          </cell>
          <cell r="M400">
            <v>7460000</v>
          </cell>
          <cell r="O400">
            <v>7460000</v>
          </cell>
          <cell r="R400">
            <v>0</v>
          </cell>
          <cell r="S400">
            <v>40309700</v>
          </cell>
          <cell r="V400">
            <v>1234626900</v>
          </cell>
          <cell r="W400">
            <v>2170380000</v>
          </cell>
          <cell r="X400">
            <v>3405006900</v>
          </cell>
          <cell r="AK400">
            <v>3547158</v>
          </cell>
          <cell r="AL400">
            <v>148386</v>
          </cell>
        </row>
        <row r="401">
          <cell r="B401">
            <v>44161</v>
          </cell>
          <cell r="C401">
            <v>23600689500</v>
          </cell>
          <cell r="D401">
            <v>1514182000</v>
          </cell>
          <cell r="E401">
            <v>0</v>
          </cell>
          <cell r="F401">
            <v>0</v>
          </cell>
          <cell r="G401">
            <v>25114871500</v>
          </cell>
          <cell r="H401">
            <v>6781015</v>
          </cell>
          <cell r="I401">
            <v>9728256800</v>
          </cell>
          <cell r="J401">
            <v>19315700000</v>
          </cell>
          <cell r="K401">
            <v>29043956800</v>
          </cell>
          <cell r="M401">
            <v>500361200</v>
          </cell>
          <cell r="N401">
            <v>2999000000</v>
          </cell>
          <cell r="O401">
            <v>3499361200</v>
          </cell>
          <cell r="P401">
            <v>550797600</v>
          </cell>
          <cell r="R401">
            <v>550797600</v>
          </cell>
          <cell r="S401">
            <v>1311576100</v>
          </cell>
          <cell r="V401">
            <v>2288303800</v>
          </cell>
          <cell r="X401">
            <v>2288303800</v>
          </cell>
          <cell r="AK401">
            <v>5828801</v>
          </cell>
          <cell r="AL401">
            <v>342279</v>
          </cell>
        </row>
        <row r="402">
          <cell r="C402">
            <v>69653205500</v>
          </cell>
          <cell r="D402">
            <v>4939781000</v>
          </cell>
          <cell r="E402">
            <v>0</v>
          </cell>
          <cell r="F402">
            <v>0</v>
          </cell>
          <cell r="G402">
            <v>74592986500</v>
          </cell>
          <cell r="H402">
            <v>20140106</v>
          </cell>
          <cell r="I402">
            <v>30624891600</v>
          </cell>
          <cell r="J402">
            <v>60937200000</v>
          </cell>
          <cell r="K402">
            <v>91562091600</v>
          </cell>
          <cell r="L402">
            <v>0</v>
          </cell>
          <cell r="M402">
            <v>1774646200</v>
          </cell>
          <cell r="N402">
            <v>4892630000</v>
          </cell>
          <cell r="O402">
            <v>6667276200</v>
          </cell>
          <cell r="P402">
            <v>2250062600</v>
          </cell>
          <cell r="Q402">
            <v>0</v>
          </cell>
          <cell r="R402">
            <v>2250062600</v>
          </cell>
          <cell r="S402">
            <v>1470262500</v>
          </cell>
          <cell r="V402">
            <v>7538654700</v>
          </cell>
          <cell r="W402">
            <v>2170380000</v>
          </cell>
          <cell r="X402">
            <v>9709034700</v>
          </cell>
          <cell r="AK402">
            <v>17603800</v>
          </cell>
          <cell r="AL402">
            <v>995511</v>
          </cell>
        </row>
        <row r="403">
          <cell r="B403">
            <v>44162</v>
          </cell>
          <cell r="C403">
            <v>2920000</v>
          </cell>
          <cell r="D403">
            <v>0</v>
          </cell>
          <cell r="E403">
            <v>0</v>
          </cell>
          <cell r="F403">
            <v>0</v>
          </cell>
          <cell r="G403">
            <v>2920000</v>
          </cell>
          <cell r="H403">
            <v>788</v>
          </cell>
          <cell r="I403">
            <v>4451693800</v>
          </cell>
          <cell r="K403">
            <v>4451693800</v>
          </cell>
          <cell r="M403">
            <v>752151800</v>
          </cell>
          <cell r="N403">
            <v>1504000000</v>
          </cell>
          <cell r="O403">
            <v>2256151800</v>
          </cell>
          <cell r="P403">
            <v>372974500</v>
          </cell>
          <cell r="R403">
            <v>372974500</v>
          </cell>
          <cell r="S403">
            <v>1624600</v>
          </cell>
          <cell r="V403">
            <v>734375300</v>
          </cell>
          <cell r="X403">
            <v>734375300</v>
          </cell>
          <cell r="AK403">
            <v>1005497</v>
          </cell>
          <cell r="AL403">
            <v>23409</v>
          </cell>
        </row>
        <row r="404">
          <cell r="B404">
            <v>44165</v>
          </cell>
          <cell r="C404">
            <v>12127114000</v>
          </cell>
          <cell r="G404">
            <v>12127114000</v>
          </cell>
          <cell r="H404">
            <v>3274321</v>
          </cell>
          <cell r="I404">
            <v>233438700</v>
          </cell>
          <cell r="J404">
            <v>4478850000</v>
          </cell>
          <cell r="K404">
            <v>4712288700</v>
          </cell>
          <cell r="M404">
            <v>3605024400</v>
          </cell>
          <cell r="N404">
            <v>0</v>
          </cell>
          <cell r="O404">
            <v>3605024400</v>
          </cell>
          <cell r="P404">
            <v>12032300</v>
          </cell>
          <cell r="R404">
            <v>12032300</v>
          </cell>
          <cell r="S404">
            <v>3770000</v>
          </cell>
          <cell r="V404">
            <v>855611400</v>
          </cell>
          <cell r="X404">
            <v>855611400</v>
          </cell>
          <cell r="AK404">
            <v>1376735</v>
          </cell>
          <cell r="AL404">
            <v>200949</v>
          </cell>
        </row>
        <row r="405">
          <cell r="B405">
            <v>44166</v>
          </cell>
          <cell r="C405">
            <v>26335589500</v>
          </cell>
          <cell r="G405">
            <v>26335589500</v>
          </cell>
          <cell r="H405">
            <v>7110609</v>
          </cell>
          <cell r="I405">
            <v>4845854000</v>
          </cell>
          <cell r="J405">
            <v>3216000000</v>
          </cell>
          <cell r="K405">
            <v>8061854000</v>
          </cell>
          <cell r="M405">
            <v>2630186200</v>
          </cell>
          <cell r="N405">
            <v>4528000000</v>
          </cell>
          <cell r="O405">
            <v>7158186200</v>
          </cell>
          <cell r="P405">
            <v>1138000000</v>
          </cell>
          <cell r="R405">
            <v>1138000000</v>
          </cell>
          <cell r="S405">
            <v>3755600</v>
          </cell>
          <cell r="V405">
            <v>240120700</v>
          </cell>
          <cell r="W405">
            <v>0</v>
          </cell>
          <cell r="X405">
            <v>240120700</v>
          </cell>
          <cell r="AK405">
            <v>2368134</v>
          </cell>
          <cell r="AL405">
            <v>171102</v>
          </cell>
        </row>
        <row r="406">
          <cell r="B406">
            <v>44167</v>
          </cell>
          <cell r="C406">
            <v>3600108500</v>
          </cell>
          <cell r="F406">
            <v>255322000</v>
          </cell>
          <cell r="G406">
            <v>3855430500</v>
          </cell>
          <cell r="H406">
            <v>1040966</v>
          </cell>
          <cell r="I406">
            <v>6565870000</v>
          </cell>
          <cell r="J406">
            <v>14731500000</v>
          </cell>
          <cell r="K406">
            <v>21297370000</v>
          </cell>
          <cell r="M406">
            <v>521146600</v>
          </cell>
          <cell r="N406">
            <v>0</v>
          </cell>
          <cell r="O406">
            <v>521146600</v>
          </cell>
          <cell r="P406">
            <v>632046600</v>
          </cell>
          <cell r="R406">
            <v>632046600</v>
          </cell>
          <cell r="S406">
            <v>1273828600</v>
          </cell>
          <cell r="V406">
            <v>121500</v>
          </cell>
          <cell r="W406">
            <v>0</v>
          </cell>
          <cell r="X406">
            <v>121500</v>
          </cell>
          <cell r="AK406">
            <v>3714640</v>
          </cell>
          <cell r="AL406">
            <v>36450</v>
          </cell>
        </row>
        <row r="407">
          <cell r="B407">
            <v>44168</v>
          </cell>
          <cell r="C407">
            <v>19178680000</v>
          </cell>
          <cell r="G407">
            <v>19178680000</v>
          </cell>
          <cell r="H407">
            <v>5178244</v>
          </cell>
          <cell r="I407">
            <v>5638313300</v>
          </cell>
          <cell r="J407">
            <v>11542500000</v>
          </cell>
          <cell r="K407">
            <v>17180813300</v>
          </cell>
          <cell r="M407">
            <v>92496200</v>
          </cell>
          <cell r="N407">
            <v>0</v>
          </cell>
          <cell r="O407">
            <v>92496200</v>
          </cell>
          <cell r="P407">
            <v>748195300</v>
          </cell>
          <cell r="R407">
            <v>748195300</v>
          </cell>
          <cell r="S407">
            <v>1517300</v>
          </cell>
          <cell r="V407">
            <v>1938700</v>
          </cell>
          <cell r="W407">
            <v>0</v>
          </cell>
          <cell r="X407">
            <v>1938700</v>
          </cell>
          <cell r="AK407">
            <v>2778005</v>
          </cell>
          <cell r="AL407">
            <v>289410</v>
          </cell>
        </row>
        <row r="408">
          <cell r="C408">
            <v>61244412000</v>
          </cell>
          <cell r="D408">
            <v>0</v>
          </cell>
          <cell r="E408">
            <v>0</v>
          </cell>
          <cell r="F408">
            <v>255322000</v>
          </cell>
          <cell r="G408">
            <v>61499734000</v>
          </cell>
          <cell r="H408">
            <v>16604928</v>
          </cell>
          <cell r="I408">
            <v>21735169800</v>
          </cell>
          <cell r="J408">
            <v>33968850000</v>
          </cell>
          <cell r="K408">
            <v>55704019800</v>
          </cell>
          <cell r="L408">
            <v>0</v>
          </cell>
          <cell r="M408">
            <v>7601005200</v>
          </cell>
          <cell r="N408">
            <v>6032000000</v>
          </cell>
          <cell r="O408">
            <v>13633005200</v>
          </cell>
          <cell r="P408">
            <v>2903248700</v>
          </cell>
          <cell r="Q408">
            <v>0</v>
          </cell>
          <cell r="R408">
            <v>2903248700</v>
          </cell>
          <cell r="S408">
            <v>1284496100</v>
          </cell>
          <cell r="V408">
            <v>1832167600</v>
          </cell>
          <cell r="W408">
            <v>0</v>
          </cell>
          <cell r="X408">
            <v>1832167600</v>
          </cell>
          <cell r="AK408">
            <v>11243010</v>
          </cell>
          <cell r="AL408">
            <v>721320</v>
          </cell>
        </row>
        <row r="409">
          <cell r="B409">
            <v>44169</v>
          </cell>
          <cell r="C409">
            <v>4855701000</v>
          </cell>
          <cell r="G409">
            <v>4855701000</v>
          </cell>
          <cell r="H409">
            <v>1311039</v>
          </cell>
          <cell r="I409">
            <v>3752865100</v>
          </cell>
          <cell r="J409">
            <v>0</v>
          </cell>
          <cell r="K409">
            <v>3752865100</v>
          </cell>
          <cell r="M409">
            <v>401685000</v>
          </cell>
          <cell r="N409">
            <v>0</v>
          </cell>
          <cell r="O409">
            <v>401685000</v>
          </cell>
          <cell r="P409">
            <v>1148338500</v>
          </cell>
          <cell r="Q409">
            <v>0</v>
          </cell>
          <cell r="R409">
            <v>1148338500</v>
          </cell>
          <cell r="S409">
            <v>2038000</v>
          </cell>
          <cell r="V409">
            <v>121500</v>
          </cell>
          <cell r="W409">
            <v>0</v>
          </cell>
          <cell r="X409">
            <v>121500</v>
          </cell>
          <cell r="AK409">
            <v>573101</v>
          </cell>
          <cell r="AL409">
            <v>54525</v>
          </cell>
        </row>
        <row r="410">
          <cell r="B410">
            <v>44172</v>
          </cell>
          <cell r="C410">
            <v>6165456000</v>
          </cell>
          <cell r="D410">
            <v>1596102000</v>
          </cell>
          <cell r="E410">
            <v>356568000</v>
          </cell>
          <cell r="G410">
            <v>8118126000</v>
          </cell>
          <cell r="H410">
            <v>2191894</v>
          </cell>
          <cell r="I410">
            <v>8496545100</v>
          </cell>
          <cell r="J410">
            <v>3313000000</v>
          </cell>
          <cell r="K410">
            <v>11809545100</v>
          </cell>
          <cell r="M410">
            <v>0</v>
          </cell>
          <cell r="N410">
            <v>0</v>
          </cell>
          <cell r="O410">
            <v>0</v>
          </cell>
          <cell r="P410">
            <v>359450000</v>
          </cell>
          <cell r="Q410">
            <v>0</v>
          </cell>
          <cell r="R410">
            <v>359450000</v>
          </cell>
          <cell r="S410">
            <v>2542800</v>
          </cell>
          <cell r="V410">
            <v>121700</v>
          </cell>
          <cell r="W410">
            <v>0</v>
          </cell>
          <cell r="X410">
            <v>121700</v>
          </cell>
          <cell r="AK410">
            <v>1553267</v>
          </cell>
          <cell r="AL410">
            <v>53493</v>
          </cell>
        </row>
        <row r="411">
          <cell r="B411">
            <v>44173</v>
          </cell>
          <cell r="C411">
            <v>19869535800</v>
          </cell>
          <cell r="G411">
            <v>19869535800</v>
          </cell>
          <cell r="H411">
            <v>5364775</v>
          </cell>
          <cell r="I411">
            <v>868342700</v>
          </cell>
          <cell r="J411">
            <v>11653000000</v>
          </cell>
          <cell r="K411">
            <v>12521342700</v>
          </cell>
          <cell r="M411">
            <v>856074500</v>
          </cell>
          <cell r="N411">
            <v>0</v>
          </cell>
          <cell r="O411">
            <v>856074500</v>
          </cell>
          <cell r="P411">
            <v>72340000</v>
          </cell>
          <cell r="Q411">
            <v>0</v>
          </cell>
          <cell r="R411">
            <v>72340000</v>
          </cell>
          <cell r="S411">
            <v>52209000</v>
          </cell>
          <cell r="V411">
            <v>245494800</v>
          </cell>
          <cell r="W411">
            <v>0</v>
          </cell>
          <cell r="X411">
            <v>245494800</v>
          </cell>
          <cell r="AK411">
            <v>2345176</v>
          </cell>
          <cell r="AL411">
            <v>249939</v>
          </cell>
        </row>
        <row r="412">
          <cell r="B412">
            <v>44174</v>
          </cell>
          <cell r="C412">
            <v>25746226000</v>
          </cell>
          <cell r="D412">
            <v>2410934000</v>
          </cell>
          <cell r="G412">
            <v>28157160000</v>
          </cell>
          <cell r="H412">
            <v>7602433</v>
          </cell>
          <cell r="I412">
            <v>817280200</v>
          </cell>
          <cell r="J412">
            <v>43717600000</v>
          </cell>
          <cell r="K412">
            <v>44534880200</v>
          </cell>
          <cell r="M412">
            <v>111835200</v>
          </cell>
          <cell r="N412">
            <v>0</v>
          </cell>
          <cell r="O412">
            <v>111835200</v>
          </cell>
          <cell r="P412">
            <v>54043200</v>
          </cell>
          <cell r="Q412">
            <v>0</v>
          </cell>
          <cell r="R412">
            <v>54043200</v>
          </cell>
          <cell r="S412">
            <v>1286300</v>
          </cell>
          <cell r="V412">
            <v>981428600</v>
          </cell>
          <cell r="W412">
            <v>0</v>
          </cell>
          <cell r="X412">
            <v>981428600</v>
          </cell>
          <cell r="AK412">
            <v>8152238</v>
          </cell>
          <cell r="AL412">
            <v>366690</v>
          </cell>
        </row>
        <row r="413">
          <cell r="B413">
            <v>44175</v>
          </cell>
          <cell r="C413">
            <v>13490109000</v>
          </cell>
          <cell r="D413">
            <v>1349247500</v>
          </cell>
          <cell r="G413">
            <v>14839356500</v>
          </cell>
          <cell r="H413">
            <v>4006626</v>
          </cell>
          <cell r="I413">
            <v>1973921200</v>
          </cell>
          <cell r="J413">
            <v>16848000000</v>
          </cell>
          <cell r="K413">
            <v>18821921200</v>
          </cell>
          <cell r="M413">
            <v>1968131700</v>
          </cell>
          <cell r="N413">
            <v>0</v>
          </cell>
          <cell r="O413">
            <v>1968131700</v>
          </cell>
          <cell r="P413">
            <v>56950800</v>
          </cell>
          <cell r="Q413">
            <v>0</v>
          </cell>
          <cell r="R413">
            <v>56950800</v>
          </cell>
          <cell r="S413">
            <v>35469200</v>
          </cell>
          <cell r="V413">
            <v>123500</v>
          </cell>
          <cell r="W413">
            <v>0</v>
          </cell>
          <cell r="X413">
            <v>123500</v>
          </cell>
          <cell r="AK413">
            <v>3470939</v>
          </cell>
          <cell r="AL413">
            <v>378810</v>
          </cell>
        </row>
        <row r="414">
          <cell r="C414">
            <v>70127027800</v>
          </cell>
          <cell r="D414">
            <v>5356283500</v>
          </cell>
          <cell r="E414">
            <v>356568000</v>
          </cell>
          <cell r="F414">
            <v>0</v>
          </cell>
          <cell r="G414">
            <v>75839879300</v>
          </cell>
          <cell r="H414">
            <v>20476767</v>
          </cell>
          <cell r="I414">
            <v>15908954300</v>
          </cell>
          <cell r="J414">
            <v>75531600000</v>
          </cell>
          <cell r="K414">
            <v>91440554300</v>
          </cell>
          <cell r="L414">
            <v>0</v>
          </cell>
          <cell r="M414">
            <v>3337726400</v>
          </cell>
          <cell r="N414">
            <v>0</v>
          </cell>
          <cell r="O414">
            <v>3337726400</v>
          </cell>
          <cell r="P414">
            <v>1691122500</v>
          </cell>
          <cell r="Q414">
            <v>0</v>
          </cell>
          <cell r="R414">
            <v>1691122500</v>
          </cell>
          <cell r="S414">
            <v>93545300</v>
          </cell>
          <cell r="V414">
            <v>1227290100</v>
          </cell>
          <cell r="W414">
            <v>0</v>
          </cell>
          <cell r="X414">
            <v>1227290100</v>
          </cell>
          <cell r="AK414">
            <v>16094721</v>
          </cell>
          <cell r="AL414">
            <v>1103457</v>
          </cell>
        </row>
        <row r="415">
          <cell r="B415">
            <v>44176</v>
          </cell>
          <cell r="C415">
            <v>10158739500</v>
          </cell>
          <cell r="G415">
            <v>10158739500</v>
          </cell>
          <cell r="H415">
            <v>2742860</v>
          </cell>
          <cell r="I415">
            <v>42691200</v>
          </cell>
          <cell r="J415">
            <v>6692000000</v>
          </cell>
          <cell r="K415">
            <v>6734691200</v>
          </cell>
          <cell r="M415">
            <v>1582918100</v>
          </cell>
          <cell r="N415">
            <v>1567000000</v>
          </cell>
          <cell r="O415">
            <v>3149918100</v>
          </cell>
          <cell r="P415">
            <v>246500</v>
          </cell>
          <cell r="Q415">
            <v>0</v>
          </cell>
          <cell r="R415">
            <v>246500</v>
          </cell>
          <cell r="S415">
            <v>9406100</v>
          </cell>
          <cell r="V415">
            <v>22771100</v>
          </cell>
          <cell r="W415">
            <v>0</v>
          </cell>
          <cell r="X415">
            <v>22771100</v>
          </cell>
          <cell r="AK415">
            <v>1668004</v>
          </cell>
          <cell r="AL415">
            <v>22731</v>
          </cell>
        </row>
        <row r="416">
          <cell r="B416">
            <v>44179</v>
          </cell>
          <cell r="C416">
            <v>5745374000</v>
          </cell>
          <cell r="G416">
            <v>5745374000</v>
          </cell>
          <cell r="H416">
            <v>1551251</v>
          </cell>
          <cell r="I416">
            <v>5967339400</v>
          </cell>
          <cell r="J416">
            <v>15330500000</v>
          </cell>
          <cell r="K416">
            <v>21297839400</v>
          </cell>
          <cell r="M416">
            <v>1085460000</v>
          </cell>
          <cell r="N416">
            <v>0</v>
          </cell>
          <cell r="O416">
            <v>1085460000</v>
          </cell>
          <cell r="P416">
            <v>105163800</v>
          </cell>
          <cell r="Q416">
            <v>0</v>
          </cell>
          <cell r="R416">
            <v>105163800</v>
          </cell>
          <cell r="S416">
            <v>45648300</v>
          </cell>
          <cell r="V416">
            <v>145315300</v>
          </cell>
          <cell r="W416">
            <v>0</v>
          </cell>
          <cell r="X416">
            <v>145315300</v>
          </cell>
          <cell r="AK416">
            <v>3566923</v>
          </cell>
          <cell r="AL416">
            <v>216843</v>
          </cell>
        </row>
        <row r="417">
          <cell r="B417">
            <v>44180</v>
          </cell>
          <cell r="C417">
            <v>0</v>
          </cell>
          <cell r="G417">
            <v>0</v>
          </cell>
          <cell r="H417">
            <v>0</v>
          </cell>
          <cell r="I417">
            <v>2878816400</v>
          </cell>
          <cell r="J417">
            <v>24768290000</v>
          </cell>
          <cell r="K417">
            <v>27647106400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69444900</v>
          </cell>
          <cell r="V417">
            <v>43132600</v>
          </cell>
          <cell r="W417">
            <v>0</v>
          </cell>
          <cell r="X417">
            <v>43132600</v>
          </cell>
          <cell r="AK417">
            <v>4789468</v>
          </cell>
          <cell r="AL417">
            <v>216438</v>
          </cell>
        </row>
        <row r="418">
          <cell r="B418">
            <v>44181</v>
          </cell>
          <cell r="C418">
            <v>2420867000</v>
          </cell>
          <cell r="G418">
            <v>2420867000</v>
          </cell>
          <cell r="H418">
            <v>653634</v>
          </cell>
          <cell r="I418">
            <v>1806243400</v>
          </cell>
          <cell r="J418">
            <v>8589500000</v>
          </cell>
          <cell r="K418">
            <v>10395743400</v>
          </cell>
          <cell r="M418">
            <v>1359624900</v>
          </cell>
          <cell r="N418">
            <v>0</v>
          </cell>
          <cell r="O418">
            <v>1359624900</v>
          </cell>
          <cell r="P418">
            <v>497090800</v>
          </cell>
          <cell r="R418">
            <v>497090800</v>
          </cell>
          <cell r="S418">
            <v>7680000</v>
          </cell>
          <cell r="V418">
            <v>658858800</v>
          </cell>
          <cell r="W418">
            <v>1652300000</v>
          </cell>
          <cell r="X418">
            <v>2311158800</v>
          </cell>
          <cell r="AK418">
            <v>2359101</v>
          </cell>
          <cell r="AL418">
            <v>112452</v>
          </cell>
        </row>
        <row r="419">
          <cell r="B419">
            <v>44182</v>
          </cell>
          <cell r="C419">
            <v>19829539000</v>
          </cell>
          <cell r="D419">
            <v>5617813500</v>
          </cell>
          <cell r="G419">
            <v>25447352500</v>
          </cell>
          <cell r="H419">
            <v>6870785</v>
          </cell>
          <cell r="I419">
            <v>0</v>
          </cell>
          <cell r="J419">
            <v>59350700000</v>
          </cell>
          <cell r="K419">
            <v>59350700000</v>
          </cell>
          <cell r="M419">
            <v>88156900</v>
          </cell>
          <cell r="N419">
            <v>8009000000</v>
          </cell>
          <cell r="O419">
            <v>8097156900</v>
          </cell>
          <cell r="P419">
            <v>31488700</v>
          </cell>
          <cell r="Q419">
            <v>0</v>
          </cell>
          <cell r="R419">
            <v>31488700</v>
          </cell>
          <cell r="S419">
            <v>4371400</v>
          </cell>
          <cell r="V419">
            <v>0</v>
          </cell>
          <cell r="W419">
            <v>0</v>
          </cell>
          <cell r="X419">
            <v>0</v>
          </cell>
          <cell r="AK419">
            <v>12138455</v>
          </cell>
          <cell r="AL419">
            <v>322500</v>
          </cell>
        </row>
        <row r="420">
          <cell r="C420">
            <v>38154519500</v>
          </cell>
          <cell r="D420">
            <v>5617813500</v>
          </cell>
          <cell r="E420">
            <v>0</v>
          </cell>
          <cell r="F420">
            <v>0</v>
          </cell>
          <cell r="G420">
            <v>43772333000</v>
          </cell>
          <cell r="H420">
            <v>11818530</v>
          </cell>
          <cell r="I420">
            <v>10695090400</v>
          </cell>
          <cell r="J420">
            <v>114730990000</v>
          </cell>
          <cell r="K420">
            <v>125426080400</v>
          </cell>
          <cell r="L420">
            <v>0</v>
          </cell>
          <cell r="M420">
            <v>4116159900</v>
          </cell>
          <cell r="N420">
            <v>9576000000</v>
          </cell>
          <cell r="O420">
            <v>13692159900</v>
          </cell>
          <cell r="P420">
            <v>633989800</v>
          </cell>
          <cell r="Q420">
            <v>0</v>
          </cell>
          <cell r="R420">
            <v>633989800</v>
          </cell>
          <cell r="S420">
            <v>136550700</v>
          </cell>
          <cell r="V420">
            <v>870077800</v>
          </cell>
          <cell r="W420">
            <v>1652300000</v>
          </cell>
          <cell r="X420">
            <v>2522377800</v>
          </cell>
          <cell r="AK420">
            <v>24521951</v>
          </cell>
          <cell r="AL420">
            <v>890964</v>
          </cell>
        </row>
        <row r="421">
          <cell r="B421">
            <v>44183</v>
          </cell>
          <cell r="C421">
            <v>7597717500</v>
          </cell>
          <cell r="G421">
            <v>7597717500</v>
          </cell>
          <cell r="H421">
            <v>2051384</v>
          </cell>
          <cell r="I421">
            <v>3818299100</v>
          </cell>
          <cell r="J421">
            <v>60193500000</v>
          </cell>
          <cell r="K421">
            <v>64011799100</v>
          </cell>
          <cell r="M421">
            <v>196300000</v>
          </cell>
          <cell r="N421">
            <v>3222000000</v>
          </cell>
          <cell r="O421">
            <v>3418300000</v>
          </cell>
          <cell r="P421">
            <v>318424200</v>
          </cell>
          <cell r="Q421">
            <v>0</v>
          </cell>
          <cell r="R421">
            <v>318424200</v>
          </cell>
          <cell r="S421">
            <v>159605200</v>
          </cell>
          <cell r="V421">
            <v>3802004700</v>
          </cell>
          <cell r="W421">
            <v>0</v>
          </cell>
          <cell r="X421">
            <v>3802004700</v>
          </cell>
          <cell r="AK421">
            <v>12595846</v>
          </cell>
          <cell r="AL421">
            <v>397443</v>
          </cell>
        </row>
        <row r="422">
          <cell r="B422">
            <v>44186</v>
          </cell>
          <cell r="C422">
            <v>2323520500</v>
          </cell>
          <cell r="D422">
            <v>10883520000</v>
          </cell>
          <cell r="G422">
            <v>13207040500</v>
          </cell>
          <cell r="H422">
            <v>3565901</v>
          </cell>
          <cell r="I422">
            <v>5290503600</v>
          </cell>
          <cell r="J422">
            <v>35118300000</v>
          </cell>
          <cell r="K422">
            <v>40408803600</v>
          </cell>
          <cell r="M422">
            <v>167000</v>
          </cell>
          <cell r="N422">
            <v>0</v>
          </cell>
          <cell r="O422">
            <v>167000</v>
          </cell>
          <cell r="P422">
            <v>1288866700</v>
          </cell>
          <cell r="Q422">
            <v>0</v>
          </cell>
          <cell r="R422">
            <v>1288866700</v>
          </cell>
          <cell r="S422">
            <v>8497500</v>
          </cell>
          <cell r="V422">
            <v>130500</v>
          </cell>
          <cell r="W422">
            <v>0</v>
          </cell>
          <cell r="X422">
            <v>130500</v>
          </cell>
          <cell r="AK422">
            <v>7033437</v>
          </cell>
          <cell r="AL422">
            <v>59031</v>
          </cell>
        </row>
        <row r="423">
          <cell r="B423">
            <v>44187</v>
          </cell>
          <cell r="C423">
            <v>0</v>
          </cell>
          <cell r="D423">
            <v>8948819500</v>
          </cell>
          <cell r="G423">
            <v>8948819500</v>
          </cell>
          <cell r="H423">
            <v>2416181</v>
          </cell>
          <cell r="I423">
            <v>5335728700</v>
          </cell>
          <cell r="J423">
            <v>33422500000</v>
          </cell>
          <cell r="K423">
            <v>38758228700</v>
          </cell>
          <cell r="M423">
            <v>1401302900</v>
          </cell>
          <cell r="N423">
            <v>0</v>
          </cell>
          <cell r="O423">
            <v>1401302900</v>
          </cell>
          <cell r="P423">
            <v>401200</v>
          </cell>
          <cell r="Q423">
            <v>0</v>
          </cell>
          <cell r="R423">
            <v>401200</v>
          </cell>
          <cell r="S423">
            <v>10995500</v>
          </cell>
          <cell r="V423">
            <v>0</v>
          </cell>
          <cell r="W423">
            <v>0</v>
          </cell>
          <cell r="X423">
            <v>0</v>
          </cell>
          <cell r="AK423">
            <v>6745672</v>
          </cell>
          <cell r="AL423">
            <v>25494</v>
          </cell>
        </row>
        <row r="424">
          <cell r="B424">
            <v>44188</v>
          </cell>
          <cell r="C424">
            <v>0</v>
          </cell>
          <cell r="G424">
            <v>0</v>
          </cell>
          <cell r="H424">
            <v>0</v>
          </cell>
          <cell r="I424">
            <v>264397000</v>
          </cell>
          <cell r="J424">
            <v>21184000000</v>
          </cell>
          <cell r="K424">
            <v>21448397000</v>
          </cell>
          <cell r="M424">
            <v>0</v>
          </cell>
          <cell r="N424">
            <v>0</v>
          </cell>
          <cell r="O424">
            <v>0</v>
          </cell>
          <cell r="P424">
            <v>2679000</v>
          </cell>
          <cell r="Q424">
            <v>0</v>
          </cell>
          <cell r="R424">
            <v>2679000</v>
          </cell>
          <cell r="S424">
            <v>6354400</v>
          </cell>
          <cell r="V424">
            <v>190184000</v>
          </cell>
          <cell r="W424">
            <v>0</v>
          </cell>
          <cell r="X424">
            <v>190184000</v>
          </cell>
          <cell r="AK424">
            <v>3877341</v>
          </cell>
          <cell r="AL424">
            <v>4554</v>
          </cell>
        </row>
        <row r="425">
          <cell r="B425">
            <v>44189</v>
          </cell>
          <cell r="C425">
            <v>2297823000</v>
          </cell>
          <cell r="D425">
            <v>838170500</v>
          </cell>
          <cell r="G425">
            <v>3135993500</v>
          </cell>
          <cell r="H425">
            <v>846718</v>
          </cell>
          <cell r="I425">
            <v>1751043900</v>
          </cell>
          <cell r="J425">
            <v>6962000000</v>
          </cell>
          <cell r="K425">
            <v>8713043900</v>
          </cell>
          <cell r="M425">
            <v>33000000</v>
          </cell>
          <cell r="N425">
            <v>0</v>
          </cell>
          <cell r="O425">
            <v>33000000</v>
          </cell>
          <cell r="P425">
            <v>0</v>
          </cell>
          <cell r="Q425">
            <v>0</v>
          </cell>
          <cell r="R425">
            <v>0</v>
          </cell>
          <cell r="S425">
            <v>27740000</v>
          </cell>
          <cell r="V425">
            <v>12766400</v>
          </cell>
          <cell r="W425">
            <v>0</v>
          </cell>
          <cell r="X425">
            <v>12766400</v>
          </cell>
          <cell r="AK425">
            <v>1453128</v>
          </cell>
          <cell r="AL425">
            <v>45342</v>
          </cell>
        </row>
        <row r="426">
          <cell r="C426">
            <v>12219061000</v>
          </cell>
          <cell r="D426">
            <v>20670510000</v>
          </cell>
          <cell r="E426">
            <v>0</v>
          </cell>
          <cell r="F426">
            <v>0</v>
          </cell>
          <cell r="G426">
            <v>32889571000</v>
          </cell>
          <cell r="H426">
            <v>8880184</v>
          </cell>
          <cell r="I426">
            <v>16459972300</v>
          </cell>
          <cell r="J426">
            <v>156880300000</v>
          </cell>
          <cell r="K426">
            <v>173340272300</v>
          </cell>
          <cell r="L426">
            <v>0</v>
          </cell>
          <cell r="M426">
            <v>1630769900</v>
          </cell>
          <cell r="N426">
            <v>3222000000</v>
          </cell>
          <cell r="O426">
            <v>4852769900</v>
          </cell>
          <cell r="P426">
            <v>1610371100</v>
          </cell>
          <cell r="Q426">
            <v>0</v>
          </cell>
          <cell r="R426">
            <v>1610371100</v>
          </cell>
          <cell r="S426">
            <v>213192600</v>
          </cell>
          <cell r="V426">
            <v>4005085600</v>
          </cell>
          <cell r="W426">
            <v>0</v>
          </cell>
          <cell r="X426">
            <v>4005085600</v>
          </cell>
          <cell r="AK426">
            <v>31705424</v>
          </cell>
          <cell r="AL426">
            <v>531864</v>
          </cell>
        </row>
        <row r="427">
          <cell r="B427">
            <v>44190</v>
          </cell>
          <cell r="C427">
            <v>5766475500</v>
          </cell>
          <cell r="D427">
            <v>5468653000</v>
          </cell>
          <cell r="E427">
            <v>0</v>
          </cell>
          <cell r="F427">
            <v>0</v>
          </cell>
          <cell r="G427">
            <v>11235128500</v>
          </cell>
          <cell r="H427">
            <v>3033485</v>
          </cell>
          <cell r="I427">
            <v>178000</v>
          </cell>
          <cell r="J427">
            <v>0</v>
          </cell>
          <cell r="K427">
            <v>178000</v>
          </cell>
          <cell r="M427">
            <v>0</v>
          </cell>
          <cell r="N427">
            <v>0</v>
          </cell>
          <cell r="O427">
            <v>0</v>
          </cell>
          <cell r="P427">
            <v>2895300</v>
          </cell>
          <cell r="Q427">
            <v>0</v>
          </cell>
          <cell r="R427">
            <v>2895300</v>
          </cell>
          <cell r="S427">
            <v>101473700</v>
          </cell>
          <cell r="V427">
            <v>37915000</v>
          </cell>
          <cell r="W427">
            <v>0</v>
          </cell>
          <cell r="X427">
            <v>37915000</v>
          </cell>
          <cell r="AK427">
            <v>25422</v>
          </cell>
          <cell r="AL427">
            <v>39213</v>
          </cell>
        </row>
        <row r="428">
          <cell r="B428">
            <v>44193</v>
          </cell>
          <cell r="C428">
            <v>10517405000</v>
          </cell>
          <cell r="D428">
            <v>907500</v>
          </cell>
          <cell r="G428">
            <v>10518312500</v>
          </cell>
          <cell r="H428">
            <v>2839944</v>
          </cell>
          <cell r="I428">
            <v>3628105000</v>
          </cell>
          <cell r="J428">
            <v>28342500000</v>
          </cell>
          <cell r="K428">
            <v>31970605000</v>
          </cell>
          <cell r="M428">
            <v>3994640000</v>
          </cell>
          <cell r="N428">
            <v>1676000000</v>
          </cell>
          <cell r="O428">
            <v>5670640000</v>
          </cell>
          <cell r="P428">
            <v>0</v>
          </cell>
          <cell r="Q428">
            <v>0</v>
          </cell>
          <cell r="R428">
            <v>0</v>
          </cell>
          <cell r="S428">
            <v>4524000</v>
          </cell>
          <cell r="V428">
            <v>2471900</v>
          </cell>
          <cell r="W428">
            <v>0</v>
          </cell>
          <cell r="X428">
            <v>2471900</v>
          </cell>
          <cell r="AK428">
            <v>6227846</v>
          </cell>
          <cell r="AL428">
            <v>270099</v>
          </cell>
        </row>
        <row r="429">
          <cell r="B429">
            <v>44194</v>
          </cell>
          <cell r="C429">
            <v>0</v>
          </cell>
          <cell r="D429">
            <v>0</v>
          </cell>
          <cell r="G429">
            <v>0</v>
          </cell>
          <cell r="H429">
            <v>0</v>
          </cell>
          <cell r="I429">
            <v>1243200</v>
          </cell>
          <cell r="J429">
            <v>8871500000</v>
          </cell>
          <cell r="K429">
            <v>8872743200</v>
          </cell>
          <cell r="M429">
            <v>2500500</v>
          </cell>
          <cell r="N429">
            <v>0</v>
          </cell>
          <cell r="O429">
            <v>2500500</v>
          </cell>
          <cell r="P429">
            <v>0</v>
          </cell>
          <cell r="Q429">
            <v>0</v>
          </cell>
          <cell r="R429">
            <v>0</v>
          </cell>
          <cell r="S429">
            <v>24556200</v>
          </cell>
          <cell r="V429">
            <v>12137100</v>
          </cell>
          <cell r="W429">
            <v>0</v>
          </cell>
          <cell r="X429">
            <v>12137100</v>
          </cell>
          <cell r="AK429">
            <v>1603879</v>
          </cell>
          <cell r="AL429">
            <v>819</v>
          </cell>
        </row>
        <row r="430">
          <cell r="B430">
            <v>44195</v>
          </cell>
          <cell r="C430">
            <v>20294173500</v>
          </cell>
          <cell r="G430">
            <v>20294173500</v>
          </cell>
          <cell r="H430">
            <v>5479427</v>
          </cell>
          <cell r="I430">
            <v>0</v>
          </cell>
          <cell r="J430">
            <v>26809500000</v>
          </cell>
          <cell r="K430">
            <v>26809500000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26664200</v>
          </cell>
          <cell r="V430">
            <v>921300</v>
          </cell>
          <cell r="W430">
            <v>0</v>
          </cell>
          <cell r="X430">
            <v>921300</v>
          </cell>
          <cell r="AK430">
            <v>4830675</v>
          </cell>
          <cell r="AL430">
            <v>315042</v>
          </cell>
        </row>
        <row r="431">
          <cell r="B431">
            <v>44196</v>
          </cell>
          <cell r="C431">
            <v>89844000</v>
          </cell>
          <cell r="G431">
            <v>89844000</v>
          </cell>
          <cell r="H431">
            <v>24258</v>
          </cell>
          <cell r="I431">
            <v>900000000</v>
          </cell>
          <cell r="J431">
            <v>0</v>
          </cell>
          <cell r="K431">
            <v>900000000</v>
          </cell>
          <cell r="M431">
            <v>173014000</v>
          </cell>
          <cell r="O431">
            <v>173014000</v>
          </cell>
          <cell r="P431">
            <v>1633200</v>
          </cell>
          <cell r="Q431">
            <v>0</v>
          </cell>
          <cell r="R431">
            <v>1633200</v>
          </cell>
          <cell r="S431">
            <v>64940000</v>
          </cell>
          <cell r="V431">
            <v>13461000</v>
          </cell>
          <cell r="W431">
            <v>0</v>
          </cell>
          <cell r="X431">
            <v>13461000</v>
          </cell>
          <cell r="AK431">
            <v>130174</v>
          </cell>
          <cell r="AL431">
            <v>1269</v>
          </cell>
        </row>
        <row r="432">
          <cell r="C432">
            <v>36667898000</v>
          </cell>
          <cell r="D432">
            <v>5469560500</v>
          </cell>
          <cell r="E432">
            <v>0</v>
          </cell>
          <cell r="F432">
            <v>0</v>
          </cell>
          <cell r="G432">
            <v>42137458500</v>
          </cell>
          <cell r="H432">
            <v>11377114</v>
          </cell>
          <cell r="I432">
            <v>4529526200</v>
          </cell>
          <cell r="J432">
            <v>64023500000</v>
          </cell>
          <cell r="K432">
            <v>68553026200</v>
          </cell>
          <cell r="L432">
            <v>0</v>
          </cell>
          <cell r="M432">
            <v>4170154500</v>
          </cell>
          <cell r="N432">
            <v>1676000000</v>
          </cell>
          <cell r="O432">
            <v>5846154500</v>
          </cell>
          <cell r="P432">
            <v>4528500</v>
          </cell>
          <cell r="Q432">
            <v>0</v>
          </cell>
          <cell r="R432">
            <v>4528500</v>
          </cell>
          <cell r="S432">
            <v>222158100</v>
          </cell>
          <cell r="V432">
            <v>66906300</v>
          </cell>
          <cell r="W432">
            <v>0</v>
          </cell>
          <cell r="X432">
            <v>66906300</v>
          </cell>
          <cell r="AK432">
            <v>12817996</v>
          </cell>
          <cell r="AL432">
            <v>626442</v>
          </cell>
        </row>
        <row r="433">
          <cell r="B433">
            <v>44200</v>
          </cell>
          <cell r="C433">
            <v>14298220000</v>
          </cell>
          <cell r="G433">
            <v>14298220000</v>
          </cell>
          <cell r="H433">
            <v>3860519</v>
          </cell>
          <cell r="I433">
            <v>6893139000</v>
          </cell>
          <cell r="J433">
            <v>70536000000</v>
          </cell>
          <cell r="K433">
            <v>77429139000</v>
          </cell>
          <cell r="M433">
            <v>2659019000</v>
          </cell>
          <cell r="N433">
            <v>0</v>
          </cell>
          <cell r="O433">
            <v>2659019000</v>
          </cell>
          <cell r="P433">
            <v>1415000</v>
          </cell>
          <cell r="Q433">
            <v>0</v>
          </cell>
          <cell r="R433">
            <v>1415000</v>
          </cell>
          <cell r="S433">
            <v>445790000</v>
          </cell>
          <cell r="V433">
            <v>0</v>
          </cell>
          <cell r="W433">
            <v>0</v>
          </cell>
          <cell r="X433">
            <v>0</v>
          </cell>
          <cell r="AK433">
            <v>13808508</v>
          </cell>
          <cell r="AL433">
            <v>427380</v>
          </cell>
        </row>
        <row r="434">
          <cell r="B434">
            <v>44201</v>
          </cell>
          <cell r="C434">
            <v>22785455000</v>
          </cell>
          <cell r="G434">
            <v>22785455000</v>
          </cell>
          <cell r="H434">
            <v>6152073</v>
          </cell>
          <cell r="I434">
            <v>1092006000</v>
          </cell>
          <cell r="J434">
            <v>35031000000</v>
          </cell>
          <cell r="K434">
            <v>36123006000</v>
          </cell>
          <cell r="M434">
            <v>3713025000</v>
          </cell>
          <cell r="N434">
            <v>0</v>
          </cell>
          <cell r="O434">
            <v>3713025000</v>
          </cell>
          <cell r="P434">
            <v>51085000</v>
          </cell>
          <cell r="Q434">
            <v>0</v>
          </cell>
          <cell r="R434">
            <v>51085000</v>
          </cell>
          <cell r="S434">
            <v>373924000</v>
          </cell>
          <cell r="V434">
            <v>0</v>
          </cell>
          <cell r="W434">
            <v>0</v>
          </cell>
          <cell r="X434">
            <v>0</v>
          </cell>
          <cell r="AK434">
            <v>6897347</v>
          </cell>
          <cell r="AL434">
            <v>311160</v>
          </cell>
        </row>
        <row r="435">
          <cell r="B435">
            <v>44202</v>
          </cell>
          <cell r="C435">
            <v>5208920000</v>
          </cell>
          <cell r="G435">
            <v>5208920000</v>
          </cell>
          <cell r="H435">
            <v>1406408</v>
          </cell>
          <cell r="I435">
            <v>2933172000</v>
          </cell>
          <cell r="J435">
            <v>31766500000</v>
          </cell>
          <cell r="K435">
            <v>34699672000</v>
          </cell>
          <cell r="M435">
            <v>4590294000</v>
          </cell>
          <cell r="N435">
            <v>0</v>
          </cell>
          <cell r="O435">
            <v>4590294000</v>
          </cell>
          <cell r="P435">
            <v>7130000</v>
          </cell>
          <cell r="Q435">
            <v>0</v>
          </cell>
          <cell r="R435">
            <v>7130000</v>
          </cell>
          <cell r="S435">
            <v>464491000</v>
          </cell>
          <cell r="V435">
            <v>0</v>
          </cell>
          <cell r="W435">
            <v>0</v>
          </cell>
          <cell r="X435">
            <v>0</v>
          </cell>
          <cell r="AK435">
            <v>6614883</v>
          </cell>
          <cell r="AL435">
            <v>369570</v>
          </cell>
        </row>
        <row r="436">
          <cell r="B436">
            <v>44203</v>
          </cell>
          <cell r="C436">
            <v>15750590000</v>
          </cell>
          <cell r="G436">
            <v>15750590000</v>
          </cell>
          <cell r="H436">
            <v>4252659</v>
          </cell>
          <cell r="I436">
            <v>466816000</v>
          </cell>
          <cell r="J436">
            <v>33901500000</v>
          </cell>
          <cell r="K436">
            <v>34368316000</v>
          </cell>
          <cell r="M436">
            <v>3013384000</v>
          </cell>
          <cell r="N436">
            <v>0</v>
          </cell>
          <cell r="O436">
            <v>3013384000</v>
          </cell>
          <cell r="P436">
            <v>27948000</v>
          </cell>
          <cell r="Q436">
            <v>0</v>
          </cell>
          <cell r="R436">
            <v>27948000</v>
          </cell>
          <cell r="S436">
            <v>536867000</v>
          </cell>
          <cell r="V436">
            <v>22313000</v>
          </cell>
          <cell r="W436">
            <v>2371840000</v>
          </cell>
          <cell r="X436">
            <v>2394153000</v>
          </cell>
          <cell r="AK436">
            <v>7008734</v>
          </cell>
          <cell r="AL436">
            <v>441900</v>
          </cell>
        </row>
        <row r="437">
          <cell r="C437">
            <v>58043185000</v>
          </cell>
          <cell r="D437">
            <v>0</v>
          </cell>
          <cell r="E437">
            <v>0</v>
          </cell>
          <cell r="F437">
            <v>0</v>
          </cell>
          <cell r="G437">
            <v>58043185000</v>
          </cell>
          <cell r="H437">
            <v>15671660</v>
          </cell>
          <cell r="I437">
            <v>11385133000</v>
          </cell>
          <cell r="J437">
            <v>171235000000</v>
          </cell>
          <cell r="K437">
            <v>182620133000</v>
          </cell>
          <cell r="L437">
            <v>0</v>
          </cell>
          <cell r="M437">
            <v>13975722000</v>
          </cell>
          <cell r="N437">
            <v>0</v>
          </cell>
          <cell r="O437">
            <v>13975722000</v>
          </cell>
          <cell r="P437">
            <v>87578000</v>
          </cell>
          <cell r="Q437">
            <v>0</v>
          </cell>
          <cell r="R437">
            <v>87578000</v>
          </cell>
          <cell r="S437">
            <v>1821072000</v>
          </cell>
          <cell r="V437">
            <v>22313000</v>
          </cell>
          <cell r="W437">
            <v>2371840000</v>
          </cell>
          <cell r="X437">
            <v>2394153000</v>
          </cell>
          <cell r="AK437">
            <v>34329471</v>
          </cell>
          <cell r="AL437">
            <v>1550010</v>
          </cell>
        </row>
        <row r="438">
          <cell r="B438">
            <v>44204</v>
          </cell>
          <cell r="C438">
            <v>24191125000</v>
          </cell>
          <cell r="G438">
            <v>24191125000</v>
          </cell>
          <cell r="H438">
            <v>6531604</v>
          </cell>
          <cell r="I438">
            <v>135030000</v>
          </cell>
          <cell r="J438">
            <v>84540000000</v>
          </cell>
          <cell r="K438">
            <v>84675030000</v>
          </cell>
          <cell r="M438">
            <v>769985000</v>
          </cell>
          <cell r="N438">
            <v>0</v>
          </cell>
          <cell r="O438">
            <v>769985000</v>
          </cell>
          <cell r="P438">
            <v>6072000</v>
          </cell>
          <cell r="Q438">
            <v>0</v>
          </cell>
          <cell r="R438">
            <v>6072000</v>
          </cell>
          <cell r="S438">
            <v>697248000</v>
          </cell>
          <cell r="V438">
            <v>1419000</v>
          </cell>
          <cell r="W438">
            <v>0</v>
          </cell>
          <cell r="X438">
            <v>1419000</v>
          </cell>
          <cell r="AK438">
            <v>15441357</v>
          </cell>
          <cell r="AL438">
            <v>387870</v>
          </cell>
        </row>
        <row r="439">
          <cell r="B439">
            <v>44207</v>
          </cell>
          <cell r="C439">
            <v>52037985000</v>
          </cell>
          <cell r="G439">
            <v>52037985000</v>
          </cell>
          <cell r="H439">
            <v>14050256</v>
          </cell>
          <cell r="I439">
            <v>7796000000</v>
          </cell>
          <cell r="J439">
            <v>111142500000</v>
          </cell>
          <cell r="K439">
            <v>118938500000</v>
          </cell>
          <cell r="M439">
            <v>3236791000</v>
          </cell>
          <cell r="N439">
            <v>18428000000</v>
          </cell>
          <cell r="O439">
            <v>21664791000</v>
          </cell>
          <cell r="P439">
            <v>0</v>
          </cell>
          <cell r="Q439">
            <v>0</v>
          </cell>
          <cell r="R439">
            <v>0</v>
          </cell>
          <cell r="S439">
            <v>304557000</v>
          </cell>
          <cell r="V439">
            <v>586919000</v>
          </cell>
          <cell r="W439">
            <v>503300000</v>
          </cell>
          <cell r="X439">
            <v>1090219000</v>
          </cell>
          <cell r="AK439">
            <v>24765291</v>
          </cell>
          <cell r="AL439">
            <v>356310</v>
          </cell>
        </row>
        <row r="440">
          <cell r="B440">
            <v>44208</v>
          </cell>
          <cell r="C440">
            <v>33487740000</v>
          </cell>
          <cell r="G440">
            <v>33487740000</v>
          </cell>
          <cell r="H440">
            <v>9041690</v>
          </cell>
          <cell r="I440">
            <v>4288719000</v>
          </cell>
          <cell r="J440">
            <v>78225000000</v>
          </cell>
          <cell r="K440">
            <v>82513719000</v>
          </cell>
          <cell r="M440">
            <v>592980000</v>
          </cell>
          <cell r="N440">
            <v>36870000000</v>
          </cell>
          <cell r="O440">
            <v>37462980000</v>
          </cell>
          <cell r="P440">
            <v>0</v>
          </cell>
          <cell r="Q440">
            <v>0</v>
          </cell>
          <cell r="R440">
            <v>0</v>
          </cell>
          <cell r="S440">
            <v>1218085000</v>
          </cell>
          <cell r="V440">
            <v>5781000</v>
          </cell>
          <cell r="W440">
            <v>4003204000</v>
          </cell>
          <cell r="X440">
            <v>4008985000</v>
          </cell>
          <cell r="AK440">
            <v>22185196</v>
          </cell>
          <cell r="AL440">
            <v>404760</v>
          </cell>
        </row>
        <row r="441">
          <cell r="B441">
            <v>44209</v>
          </cell>
          <cell r="C441">
            <v>2573700000</v>
          </cell>
          <cell r="D441">
            <v>6354325000</v>
          </cell>
          <cell r="G441">
            <v>8928025000</v>
          </cell>
          <cell r="H441">
            <v>2410567</v>
          </cell>
          <cell r="I441">
            <v>568155000</v>
          </cell>
          <cell r="J441">
            <v>5903000000</v>
          </cell>
          <cell r="K441">
            <v>6471155000</v>
          </cell>
          <cell r="M441">
            <v>11778842000</v>
          </cell>
          <cell r="N441">
            <v>0</v>
          </cell>
          <cell r="O441">
            <v>11778842000</v>
          </cell>
          <cell r="P441">
            <v>0</v>
          </cell>
          <cell r="Q441">
            <v>0</v>
          </cell>
          <cell r="R441">
            <v>0</v>
          </cell>
          <cell r="S441">
            <v>1176891000</v>
          </cell>
          <cell r="V441">
            <v>1480000</v>
          </cell>
          <cell r="W441">
            <v>0</v>
          </cell>
          <cell r="X441">
            <v>1480000</v>
          </cell>
          <cell r="AK441">
            <v>2608122</v>
          </cell>
          <cell r="AL441">
            <v>230970</v>
          </cell>
        </row>
        <row r="442">
          <cell r="B442">
            <v>44210</v>
          </cell>
          <cell r="C442">
            <v>0</v>
          </cell>
          <cell r="D442">
            <v>12715300000</v>
          </cell>
          <cell r="G442">
            <v>12715300000</v>
          </cell>
          <cell r="H442">
            <v>3433131</v>
          </cell>
          <cell r="I442">
            <v>0</v>
          </cell>
          <cell r="J442">
            <v>9870000000</v>
          </cell>
          <cell r="K442">
            <v>9870000000</v>
          </cell>
          <cell r="M442">
            <v>8087964000</v>
          </cell>
          <cell r="N442">
            <v>0</v>
          </cell>
          <cell r="O442">
            <v>8087964000</v>
          </cell>
          <cell r="P442">
            <v>38075000</v>
          </cell>
          <cell r="Q442">
            <v>0</v>
          </cell>
          <cell r="R442">
            <v>38075000</v>
          </cell>
          <cell r="S442">
            <v>460167000</v>
          </cell>
          <cell r="V442">
            <v>0</v>
          </cell>
          <cell r="W442">
            <v>0</v>
          </cell>
          <cell r="X442">
            <v>0</v>
          </cell>
          <cell r="AK442">
            <v>2737042</v>
          </cell>
          <cell r="AL442">
            <v>283710</v>
          </cell>
        </row>
        <row r="443">
          <cell r="C443">
            <v>112290550000</v>
          </cell>
          <cell r="D443">
            <v>19069625000</v>
          </cell>
          <cell r="E443">
            <v>0</v>
          </cell>
          <cell r="F443">
            <v>0</v>
          </cell>
          <cell r="G443">
            <v>131360175000</v>
          </cell>
          <cell r="H443">
            <v>35467247</v>
          </cell>
          <cell r="I443">
            <v>12787904000</v>
          </cell>
          <cell r="J443">
            <v>289680500000</v>
          </cell>
          <cell r="K443">
            <v>302468404000</v>
          </cell>
          <cell r="L443">
            <v>0</v>
          </cell>
          <cell r="M443">
            <v>24466562000</v>
          </cell>
          <cell r="N443">
            <v>55298000000</v>
          </cell>
          <cell r="O443">
            <v>79764562000</v>
          </cell>
          <cell r="P443">
            <v>44147000</v>
          </cell>
          <cell r="Q443">
            <v>0</v>
          </cell>
          <cell r="R443">
            <v>44147000</v>
          </cell>
          <cell r="S443">
            <v>3856948000</v>
          </cell>
          <cell r="V443">
            <v>595599000</v>
          </cell>
          <cell r="W443">
            <v>4506504000</v>
          </cell>
          <cell r="X443">
            <v>5102103000</v>
          </cell>
          <cell r="AK443">
            <v>67737009</v>
          </cell>
          <cell r="AL443">
            <v>1663620</v>
          </cell>
        </row>
        <row r="444">
          <cell r="B444">
            <v>44211</v>
          </cell>
          <cell r="C444">
            <v>2560030000</v>
          </cell>
          <cell r="G444">
            <v>2560030000</v>
          </cell>
          <cell r="H444">
            <v>691208</v>
          </cell>
          <cell r="I444">
            <v>29939026000</v>
          </cell>
          <cell r="K444">
            <v>29939026000</v>
          </cell>
          <cell r="M444">
            <v>1948937000</v>
          </cell>
          <cell r="N444">
            <v>0</v>
          </cell>
          <cell r="O444">
            <v>1948937000</v>
          </cell>
          <cell r="P444">
            <v>1575000</v>
          </cell>
          <cell r="R444">
            <v>1575000</v>
          </cell>
          <cell r="S444">
            <v>646165000</v>
          </cell>
          <cell r="V444">
            <v>0</v>
          </cell>
          <cell r="W444">
            <v>0</v>
          </cell>
          <cell r="X444">
            <v>0</v>
          </cell>
          <cell r="AK444">
            <v>3560380</v>
          </cell>
          <cell r="AL444">
            <v>236370</v>
          </cell>
        </row>
        <row r="445">
          <cell r="B445">
            <v>44214</v>
          </cell>
          <cell r="C445">
            <v>38563320000</v>
          </cell>
          <cell r="G445">
            <v>38563320000</v>
          </cell>
          <cell r="H445">
            <v>10412096</v>
          </cell>
          <cell r="I445">
            <v>1182175000</v>
          </cell>
          <cell r="J445">
            <v>61343500000</v>
          </cell>
          <cell r="K445">
            <v>62525675000</v>
          </cell>
          <cell r="M445">
            <v>0</v>
          </cell>
          <cell r="N445">
            <v>0</v>
          </cell>
          <cell r="O445">
            <v>0</v>
          </cell>
          <cell r="P445">
            <v>7881000</v>
          </cell>
          <cell r="Q445">
            <v>0</v>
          </cell>
          <cell r="R445">
            <v>7881000</v>
          </cell>
          <cell r="S445">
            <v>495949000</v>
          </cell>
          <cell r="V445">
            <v>0</v>
          </cell>
          <cell r="W445">
            <v>0</v>
          </cell>
          <cell r="X445">
            <v>0</v>
          </cell>
          <cell r="AK445">
            <v>11259627</v>
          </cell>
          <cell r="AL445">
            <v>421410</v>
          </cell>
        </row>
        <row r="446">
          <cell r="B446">
            <v>44215</v>
          </cell>
          <cell r="C446">
            <v>17596470000</v>
          </cell>
          <cell r="G446">
            <v>17596470000</v>
          </cell>
          <cell r="H446">
            <v>4751047</v>
          </cell>
          <cell r="I446">
            <v>826572000</v>
          </cell>
          <cell r="J446">
            <v>61120750000</v>
          </cell>
          <cell r="K446">
            <v>61947322000</v>
          </cell>
          <cell r="M446">
            <v>3526761000</v>
          </cell>
          <cell r="N446">
            <v>0</v>
          </cell>
          <cell r="O446">
            <v>3526761000</v>
          </cell>
          <cell r="P446">
            <v>13544000</v>
          </cell>
          <cell r="Q446">
            <v>0</v>
          </cell>
          <cell r="R446">
            <v>13544000</v>
          </cell>
          <cell r="S446">
            <v>323179000</v>
          </cell>
          <cell r="V446">
            <v>4299000</v>
          </cell>
          <cell r="W446">
            <v>0</v>
          </cell>
          <cell r="X446">
            <v>4299000</v>
          </cell>
          <cell r="AK446">
            <v>11532304</v>
          </cell>
          <cell r="AL446">
            <v>344250</v>
          </cell>
        </row>
        <row r="447">
          <cell r="B447">
            <v>44216</v>
          </cell>
          <cell r="C447">
            <v>61063820000</v>
          </cell>
          <cell r="G447">
            <v>61063820000</v>
          </cell>
          <cell r="H447">
            <v>16487231</v>
          </cell>
          <cell r="I447">
            <v>11282000</v>
          </cell>
          <cell r="J447">
            <v>88577000000</v>
          </cell>
          <cell r="K447">
            <v>88588282000</v>
          </cell>
          <cell r="M447">
            <v>1804000</v>
          </cell>
          <cell r="N447">
            <v>0</v>
          </cell>
          <cell r="O447">
            <v>1804000</v>
          </cell>
          <cell r="P447">
            <v>11304000</v>
          </cell>
          <cell r="Q447">
            <v>0</v>
          </cell>
          <cell r="R447">
            <v>11304000</v>
          </cell>
          <cell r="S447">
            <v>92306000</v>
          </cell>
          <cell r="V447">
            <v>6849000</v>
          </cell>
          <cell r="W447">
            <v>0</v>
          </cell>
          <cell r="X447">
            <v>6849000</v>
          </cell>
          <cell r="AK447">
            <v>15964342</v>
          </cell>
          <cell r="AL447">
            <v>301320</v>
          </cell>
        </row>
        <row r="448">
          <cell r="B448">
            <v>44217</v>
          </cell>
          <cell r="C448">
            <v>35171255000</v>
          </cell>
          <cell r="G448">
            <v>35171255000</v>
          </cell>
          <cell r="H448">
            <v>9496239</v>
          </cell>
          <cell r="I448">
            <v>0</v>
          </cell>
          <cell r="J448">
            <v>61898260000</v>
          </cell>
          <cell r="K448">
            <v>61898260000</v>
          </cell>
          <cell r="M448">
            <v>1845541000</v>
          </cell>
          <cell r="N448">
            <v>0</v>
          </cell>
          <cell r="O448">
            <v>1845541000</v>
          </cell>
          <cell r="P448">
            <v>157383000</v>
          </cell>
          <cell r="Q448">
            <v>0</v>
          </cell>
          <cell r="R448">
            <v>157383000</v>
          </cell>
          <cell r="S448">
            <v>837376000</v>
          </cell>
          <cell r="V448">
            <v>2828000</v>
          </cell>
          <cell r="W448">
            <v>0</v>
          </cell>
          <cell r="X448">
            <v>2828000</v>
          </cell>
          <cell r="AK448">
            <v>11509239</v>
          </cell>
          <cell r="AL448">
            <v>102450</v>
          </cell>
        </row>
        <row r="449">
          <cell r="C449">
            <v>154954895000</v>
          </cell>
          <cell r="D449">
            <v>0</v>
          </cell>
          <cell r="E449">
            <v>0</v>
          </cell>
          <cell r="F449">
            <v>0</v>
          </cell>
          <cell r="G449">
            <v>154954895000</v>
          </cell>
          <cell r="H449">
            <v>41837822</v>
          </cell>
          <cell r="I449">
            <v>31959055000</v>
          </cell>
          <cell r="J449">
            <v>272939510000</v>
          </cell>
          <cell r="K449">
            <v>304898565000</v>
          </cell>
          <cell r="L449">
            <v>0</v>
          </cell>
          <cell r="M449">
            <v>7323043000</v>
          </cell>
          <cell r="N449">
            <v>0</v>
          </cell>
          <cell r="O449">
            <v>7323043000</v>
          </cell>
          <cell r="P449">
            <v>191687000</v>
          </cell>
          <cell r="Q449">
            <v>0</v>
          </cell>
          <cell r="R449">
            <v>191687000</v>
          </cell>
          <cell r="S449">
            <v>2394975000</v>
          </cell>
          <cell r="V449">
            <v>13976000</v>
          </cell>
          <cell r="W449">
            <v>0</v>
          </cell>
          <cell r="X449">
            <v>13976000</v>
          </cell>
          <cell r="AK449">
            <v>53825892</v>
          </cell>
          <cell r="AL449">
            <v>1405800</v>
          </cell>
        </row>
        <row r="450">
          <cell r="B450">
            <v>44218</v>
          </cell>
          <cell r="C450">
            <v>35178145000</v>
          </cell>
          <cell r="D450">
            <v>26059890000</v>
          </cell>
          <cell r="G450">
            <v>61238035000</v>
          </cell>
          <cell r="H450">
            <v>16534269</v>
          </cell>
          <cell r="I450">
            <v>3862000000</v>
          </cell>
          <cell r="J450">
            <v>195486500000</v>
          </cell>
          <cell r="K450">
            <v>199348500000</v>
          </cell>
          <cell r="M450">
            <v>0</v>
          </cell>
          <cell r="N450">
            <v>0</v>
          </cell>
          <cell r="O450">
            <v>0</v>
          </cell>
          <cell r="P450">
            <v>454922000</v>
          </cell>
          <cell r="R450">
            <v>454922000</v>
          </cell>
          <cell r="S450">
            <v>525057000</v>
          </cell>
          <cell r="V450">
            <v>1433000</v>
          </cell>
          <cell r="W450">
            <v>0</v>
          </cell>
          <cell r="X450">
            <v>1433000</v>
          </cell>
          <cell r="AK450">
            <v>35748566</v>
          </cell>
          <cell r="AL450">
            <v>309060</v>
          </cell>
        </row>
        <row r="451">
          <cell r="B451">
            <v>44221</v>
          </cell>
          <cell r="C451">
            <v>0</v>
          </cell>
          <cell r="D451">
            <v>0</v>
          </cell>
          <cell r="G451">
            <v>0</v>
          </cell>
          <cell r="H451">
            <v>0</v>
          </cell>
          <cell r="I451">
            <v>1950000000</v>
          </cell>
          <cell r="J451">
            <v>50381000000</v>
          </cell>
          <cell r="K451">
            <v>52331000000</v>
          </cell>
          <cell r="L451">
            <v>0</v>
          </cell>
          <cell r="M451">
            <v>35886000</v>
          </cell>
          <cell r="N451">
            <v>0</v>
          </cell>
          <cell r="O451">
            <v>35886000</v>
          </cell>
          <cell r="P451">
            <v>206932000</v>
          </cell>
          <cell r="Q451">
            <v>0</v>
          </cell>
          <cell r="R451">
            <v>206932000</v>
          </cell>
          <cell r="S451">
            <v>790638000</v>
          </cell>
          <cell r="V451">
            <v>0</v>
          </cell>
          <cell r="W451">
            <v>0</v>
          </cell>
          <cell r="X451">
            <v>0</v>
          </cell>
          <cell r="AK451">
            <v>9447719</v>
          </cell>
          <cell r="AL451">
            <v>12930</v>
          </cell>
        </row>
        <row r="452">
          <cell r="B452">
            <v>44222</v>
          </cell>
          <cell r="C452">
            <v>17397526000</v>
          </cell>
          <cell r="D452">
            <v>47171270000</v>
          </cell>
          <cell r="G452">
            <v>64568796000</v>
          </cell>
          <cell r="H452">
            <v>17433575</v>
          </cell>
          <cell r="I452">
            <v>11323013000</v>
          </cell>
          <cell r="J452">
            <v>40149000000</v>
          </cell>
          <cell r="K452">
            <v>51472013000</v>
          </cell>
          <cell r="M452">
            <v>8353886000</v>
          </cell>
          <cell r="N452">
            <v>0</v>
          </cell>
          <cell r="O452">
            <v>8353886000</v>
          </cell>
          <cell r="P452">
            <v>305800000</v>
          </cell>
          <cell r="Q452">
            <v>0</v>
          </cell>
          <cell r="R452">
            <v>305800000</v>
          </cell>
          <cell r="S452">
            <v>537789000</v>
          </cell>
          <cell r="V452">
            <v>2824000</v>
          </cell>
          <cell r="W452">
            <v>0</v>
          </cell>
          <cell r="X452">
            <v>2824000</v>
          </cell>
          <cell r="AK452">
            <v>9482262</v>
          </cell>
          <cell r="AL452">
            <v>544950</v>
          </cell>
        </row>
        <row r="453">
          <cell r="B453">
            <v>44223</v>
          </cell>
          <cell r="C453">
            <v>39898230000</v>
          </cell>
          <cell r="G453">
            <v>39898230000</v>
          </cell>
          <cell r="H453">
            <v>10772522</v>
          </cell>
          <cell r="I453">
            <v>20163794000</v>
          </cell>
          <cell r="J453">
            <v>1861000000</v>
          </cell>
          <cell r="K453">
            <v>22024794000</v>
          </cell>
          <cell r="M453">
            <v>8728744000</v>
          </cell>
          <cell r="N453">
            <v>0</v>
          </cell>
          <cell r="O453">
            <v>8728744000</v>
          </cell>
          <cell r="P453">
            <v>4203000</v>
          </cell>
          <cell r="Q453">
            <v>0</v>
          </cell>
          <cell r="R453">
            <v>4203000</v>
          </cell>
          <cell r="S453">
            <v>225150000</v>
          </cell>
          <cell r="V453">
            <v>4113000</v>
          </cell>
          <cell r="W453">
            <v>0</v>
          </cell>
          <cell r="X453">
            <v>4113000</v>
          </cell>
          <cell r="AK453">
            <v>3497095</v>
          </cell>
          <cell r="AL453">
            <v>205830</v>
          </cell>
        </row>
        <row r="454">
          <cell r="B454">
            <v>44224</v>
          </cell>
          <cell r="C454">
            <v>17973255000</v>
          </cell>
          <cell r="E454">
            <v>1089760000</v>
          </cell>
          <cell r="G454">
            <v>19063015000</v>
          </cell>
          <cell r="H454">
            <v>5147014</v>
          </cell>
          <cell r="I454">
            <v>57716540000</v>
          </cell>
          <cell r="K454">
            <v>57716540000</v>
          </cell>
          <cell r="M454">
            <v>1883190000</v>
          </cell>
          <cell r="O454">
            <v>1883190000</v>
          </cell>
          <cell r="P454">
            <v>148438000</v>
          </cell>
          <cell r="R454">
            <v>148438000</v>
          </cell>
          <cell r="S454">
            <v>192506000</v>
          </cell>
          <cell r="V454">
            <v>5147000</v>
          </cell>
          <cell r="X454">
            <v>5147000</v>
          </cell>
          <cell r="AK454">
            <v>6488380</v>
          </cell>
          <cell r="AL454">
            <v>419250</v>
          </cell>
        </row>
        <row r="455">
          <cell r="C455">
            <v>110447156000</v>
          </cell>
          <cell r="D455">
            <v>73231160000</v>
          </cell>
          <cell r="E455">
            <v>1089760000</v>
          </cell>
          <cell r="F455">
            <v>0</v>
          </cell>
          <cell r="G455">
            <v>184768076000</v>
          </cell>
          <cell r="H455">
            <v>49887380</v>
          </cell>
          <cell r="I455">
            <v>95015347000</v>
          </cell>
          <cell r="J455">
            <v>287877500000</v>
          </cell>
          <cell r="K455">
            <v>382892847000</v>
          </cell>
          <cell r="L455">
            <v>0</v>
          </cell>
          <cell r="M455">
            <v>19001706000</v>
          </cell>
          <cell r="N455">
            <v>0</v>
          </cell>
          <cell r="O455">
            <v>19001706000</v>
          </cell>
          <cell r="P455">
            <v>1120295000</v>
          </cell>
          <cell r="Q455">
            <v>0</v>
          </cell>
          <cell r="R455">
            <v>1120295000</v>
          </cell>
          <cell r="S455">
            <v>2271140000</v>
          </cell>
          <cell r="V455">
            <v>13517000</v>
          </cell>
          <cell r="W455">
            <v>0</v>
          </cell>
          <cell r="X455">
            <v>13517000</v>
          </cell>
          <cell r="AK455">
            <v>64664022</v>
          </cell>
          <cell r="AL455">
            <v>1492020</v>
          </cell>
        </row>
        <row r="456">
          <cell r="B456">
            <v>44225</v>
          </cell>
          <cell r="C456">
            <v>29260830000</v>
          </cell>
          <cell r="G456">
            <v>29260830000</v>
          </cell>
          <cell r="H456">
            <v>7900424</v>
          </cell>
          <cell r="I456">
            <v>16194037000</v>
          </cell>
          <cell r="J456">
            <v>46787000000</v>
          </cell>
          <cell r="K456">
            <v>62981037000</v>
          </cell>
          <cell r="M456">
            <v>1529141000</v>
          </cell>
          <cell r="N456">
            <v>0</v>
          </cell>
          <cell r="O456">
            <v>1529141000</v>
          </cell>
          <cell r="P456">
            <v>30772000</v>
          </cell>
          <cell r="Q456">
            <v>0</v>
          </cell>
          <cell r="R456">
            <v>30772000</v>
          </cell>
          <cell r="S456">
            <v>660500000</v>
          </cell>
          <cell r="V456">
            <v>5139000</v>
          </cell>
          <cell r="W456">
            <v>0</v>
          </cell>
          <cell r="X456">
            <v>5139000</v>
          </cell>
          <cell r="AK456">
            <v>10458902</v>
          </cell>
          <cell r="AL456">
            <v>163470</v>
          </cell>
        </row>
        <row r="457">
          <cell r="B457">
            <v>44228</v>
          </cell>
          <cell r="C457">
            <v>9257605000</v>
          </cell>
          <cell r="G457">
            <v>9257605000</v>
          </cell>
          <cell r="H457">
            <v>2499553</v>
          </cell>
          <cell r="I457">
            <v>209595000</v>
          </cell>
          <cell r="J457">
            <v>14075000000</v>
          </cell>
          <cell r="K457">
            <v>14284595000</v>
          </cell>
          <cell r="M457">
            <v>476375000</v>
          </cell>
          <cell r="O457">
            <v>476375000</v>
          </cell>
          <cell r="P457">
            <v>9423000</v>
          </cell>
          <cell r="R457">
            <v>9423000</v>
          </cell>
          <cell r="S457">
            <v>421434000</v>
          </cell>
          <cell r="V457">
            <v>1327000</v>
          </cell>
          <cell r="X457">
            <v>1327000</v>
          </cell>
          <cell r="AK457">
            <v>2684699</v>
          </cell>
          <cell r="AL457">
            <v>72570</v>
          </cell>
        </row>
        <row r="458">
          <cell r="B458">
            <v>44229</v>
          </cell>
          <cell r="C458">
            <v>21651455000</v>
          </cell>
          <cell r="G458">
            <v>21651455000</v>
          </cell>
          <cell r="H458">
            <v>5845893</v>
          </cell>
          <cell r="I458">
            <v>11014220000</v>
          </cell>
          <cell r="K458">
            <v>11014220000</v>
          </cell>
          <cell r="M458">
            <v>10542031000</v>
          </cell>
          <cell r="N458">
            <v>3386000000</v>
          </cell>
          <cell r="O458">
            <v>13928031000</v>
          </cell>
          <cell r="P458">
            <v>5339000</v>
          </cell>
          <cell r="R458">
            <v>5339000</v>
          </cell>
          <cell r="S458">
            <v>417738000</v>
          </cell>
          <cell r="V458">
            <v>5153000</v>
          </cell>
          <cell r="X458">
            <v>5153000</v>
          </cell>
          <cell r="AK458">
            <v>3014252</v>
          </cell>
          <cell r="AL458">
            <v>351180</v>
          </cell>
        </row>
        <row r="459">
          <cell r="B459">
            <v>44230</v>
          </cell>
          <cell r="C459">
            <v>22032440000</v>
          </cell>
          <cell r="G459">
            <v>22032440000</v>
          </cell>
          <cell r="H459">
            <v>5948759</v>
          </cell>
          <cell r="I459">
            <v>9833765000</v>
          </cell>
          <cell r="J459">
            <v>16657000000</v>
          </cell>
          <cell r="K459">
            <v>26490765000</v>
          </cell>
          <cell r="M459">
            <v>1609670000</v>
          </cell>
          <cell r="O459">
            <v>1609670000</v>
          </cell>
          <cell r="P459">
            <v>5703000</v>
          </cell>
          <cell r="R459">
            <v>5703000</v>
          </cell>
          <cell r="S459">
            <v>545347000</v>
          </cell>
          <cell r="V459">
            <v>1381000</v>
          </cell>
          <cell r="X459">
            <v>1381000</v>
          </cell>
          <cell r="AK459">
            <v>4333178</v>
          </cell>
          <cell r="AL459">
            <v>55200</v>
          </cell>
        </row>
        <row r="460">
          <cell r="B460">
            <v>44231</v>
          </cell>
          <cell r="C460">
            <v>10433385000</v>
          </cell>
          <cell r="G460">
            <v>10433385000</v>
          </cell>
          <cell r="H460">
            <v>2817014</v>
          </cell>
          <cell r="I460">
            <v>10209134000</v>
          </cell>
          <cell r="J460">
            <v>86401500000</v>
          </cell>
          <cell r="K460">
            <v>96610634000</v>
          </cell>
          <cell r="M460">
            <v>7368578000</v>
          </cell>
          <cell r="O460">
            <v>7368578000</v>
          </cell>
          <cell r="P460">
            <v>2839000</v>
          </cell>
          <cell r="R460">
            <v>2839000</v>
          </cell>
          <cell r="S460">
            <v>551206000</v>
          </cell>
          <cell r="V460">
            <v>4130000</v>
          </cell>
          <cell r="X460">
            <v>4130000</v>
          </cell>
          <cell r="AK460">
            <v>17550930</v>
          </cell>
          <cell r="AL460">
            <v>410340</v>
          </cell>
        </row>
        <row r="461">
          <cell r="C461">
            <v>92635715000</v>
          </cell>
          <cell r="D461">
            <v>0</v>
          </cell>
          <cell r="E461">
            <v>0</v>
          </cell>
          <cell r="F461">
            <v>0</v>
          </cell>
          <cell r="G461">
            <v>92635715000</v>
          </cell>
          <cell r="H461">
            <v>25011643</v>
          </cell>
          <cell r="I461">
            <v>47460751000</v>
          </cell>
          <cell r="J461">
            <v>163920500000</v>
          </cell>
          <cell r="K461">
            <v>211381251000</v>
          </cell>
          <cell r="L461">
            <v>0</v>
          </cell>
          <cell r="M461">
            <v>21525795000</v>
          </cell>
          <cell r="N461">
            <v>3386000000</v>
          </cell>
          <cell r="O461">
            <v>24911795000</v>
          </cell>
          <cell r="P461">
            <v>54076000</v>
          </cell>
          <cell r="Q461">
            <v>0</v>
          </cell>
          <cell r="R461">
            <v>54076000</v>
          </cell>
          <cell r="S461">
            <v>2596225000</v>
          </cell>
          <cell r="V461">
            <v>17130000</v>
          </cell>
          <cell r="W461">
            <v>0</v>
          </cell>
          <cell r="X461">
            <v>17130000</v>
          </cell>
          <cell r="AK461">
            <v>38041961</v>
          </cell>
          <cell r="AL461">
            <v>1052760</v>
          </cell>
        </row>
        <row r="462">
          <cell r="B462">
            <v>44232</v>
          </cell>
          <cell r="C462">
            <v>5850065000</v>
          </cell>
          <cell r="G462">
            <v>5850065000</v>
          </cell>
          <cell r="H462">
            <v>1579518</v>
          </cell>
          <cell r="I462">
            <v>3886504000</v>
          </cell>
          <cell r="J462">
            <v>33987000000</v>
          </cell>
          <cell r="K462">
            <v>37873504000</v>
          </cell>
          <cell r="M462">
            <v>1841859000</v>
          </cell>
          <cell r="N462">
            <v>0</v>
          </cell>
          <cell r="O462">
            <v>1841859000</v>
          </cell>
          <cell r="P462">
            <v>5800000</v>
          </cell>
          <cell r="Q462">
            <v>0</v>
          </cell>
          <cell r="R462">
            <v>5800000</v>
          </cell>
          <cell r="S462">
            <v>507685000</v>
          </cell>
          <cell r="V462">
            <v>4219000</v>
          </cell>
          <cell r="W462">
            <v>0</v>
          </cell>
          <cell r="X462">
            <v>4219000</v>
          </cell>
          <cell r="AK462">
            <v>6829092</v>
          </cell>
          <cell r="AL462">
            <v>70650</v>
          </cell>
        </row>
        <row r="463">
          <cell r="B463">
            <v>44235</v>
          </cell>
          <cell r="C463">
            <v>54182460000</v>
          </cell>
          <cell r="D463">
            <v>27056215000</v>
          </cell>
          <cell r="G463">
            <v>81238675000</v>
          </cell>
          <cell r="H463">
            <v>21934442</v>
          </cell>
          <cell r="I463">
            <v>11894163000</v>
          </cell>
          <cell r="J463">
            <v>29470200000</v>
          </cell>
          <cell r="K463">
            <v>41364363000</v>
          </cell>
          <cell r="M463">
            <v>12884000</v>
          </cell>
          <cell r="O463">
            <v>12884000</v>
          </cell>
          <cell r="P463">
            <v>8543000</v>
          </cell>
          <cell r="R463">
            <v>8543000</v>
          </cell>
          <cell r="S463">
            <v>372854000</v>
          </cell>
          <cell r="V463">
            <v>276391000</v>
          </cell>
          <cell r="X463">
            <v>276391000</v>
          </cell>
          <cell r="AK463">
            <v>6708384</v>
          </cell>
          <cell r="AL463">
            <v>590580</v>
          </cell>
        </row>
        <row r="464">
          <cell r="B464">
            <v>44236</v>
          </cell>
          <cell r="C464">
            <v>8487085000</v>
          </cell>
          <cell r="D464">
            <v>23951260000</v>
          </cell>
          <cell r="G464">
            <v>32438345000</v>
          </cell>
          <cell r="H464">
            <v>8758353</v>
          </cell>
          <cell r="I464">
            <v>808844000</v>
          </cell>
          <cell r="J464">
            <v>9315000000</v>
          </cell>
          <cell r="K464">
            <v>10123844000</v>
          </cell>
          <cell r="M464">
            <v>11136000</v>
          </cell>
          <cell r="N464">
            <v>26015000000</v>
          </cell>
          <cell r="O464">
            <v>26026136000</v>
          </cell>
          <cell r="P464">
            <v>2889000</v>
          </cell>
          <cell r="R464">
            <v>2889000</v>
          </cell>
          <cell r="S464">
            <v>596557000</v>
          </cell>
          <cell r="V464">
            <v>143883000</v>
          </cell>
          <cell r="X464">
            <v>143883000</v>
          </cell>
          <cell r="AK464">
            <v>6581549</v>
          </cell>
          <cell r="AL464">
            <v>158010</v>
          </cell>
        </row>
        <row r="465">
          <cell r="B465">
            <v>44244</v>
          </cell>
          <cell r="C465">
            <v>80525920000</v>
          </cell>
          <cell r="D465">
            <v>11893280000</v>
          </cell>
          <cell r="G465">
            <v>92419200000</v>
          </cell>
          <cell r="H465">
            <v>24953184</v>
          </cell>
          <cell r="I465">
            <v>9577223000</v>
          </cell>
          <cell r="J465">
            <v>85376000000</v>
          </cell>
          <cell r="K465">
            <v>94953223000</v>
          </cell>
          <cell r="M465">
            <v>10508076000</v>
          </cell>
          <cell r="N465">
            <v>0</v>
          </cell>
          <cell r="O465">
            <v>10508076000</v>
          </cell>
          <cell r="P465">
            <v>5951000</v>
          </cell>
          <cell r="Q465">
            <v>0</v>
          </cell>
          <cell r="R465">
            <v>5951000</v>
          </cell>
          <cell r="S465">
            <v>482448000</v>
          </cell>
          <cell r="V465">
            <v>5715000</v>
          </cell>
          <cell r="W465">
            <v>0</v>
          </cell>
          <cell r="X465">
            <v>5715000</v>
          </cell>
          <cell r="AK465">
            <v>17625404</v>
          </cell>
          <cell r="AL465">
            <v>731370</v>
          </cell>
        </row>
        <row r="466">
          <cell r="B466">
            <v>44245</v>
          </cell>
          <cell r="C466">
            <v>19042465000</v>
          </cell>
          <cell r="G466">
            <v>19042465000</v>
          </cell>
          <cell r="H466">
            <v>5141466</v>
          </cell>
          <cell r="I466">
            <v>381814000</v>
          </cell>
          <cell r="J466">
            <v>65188000000</v>
          </cell>
          <cell r="K466">
            <v>65569814000</v>
          </cell>
          <cell r="M466">
            <v>2017840000</v>
          </cell>
          <cell r="O466">
            <v>2017840000</v>
          </cell>
          <cell r="P466">
            <v>7611000</v>
          </cell>
          <cell r="R466">
            <v>7611000</v>
          </cell>
          <cell r="S466">
            <v>414142000</v>
          </cell>
          <cell r="V466">
            <v>121628000</v>
          </cell>
          <cell r="X466">
            <v>121628000</v>
          </cell>
          <cell r="AK466">
            <v>12090263</v>
          </cell>
          <cell r="AL466">
            <v>114750</v>
          </cell>
        </row>
        <row r="467">
          <cell r="C467">
            <v>168087995000</v>
          </cell>
          <cell r="D467">
            <v>62900755000</v>
          </cell>
          <cell r="E467">
            <v>0</v>
          </cell>
          <cell r="F467">
            <v>0</v>
          </cell>
          <cell r="G467">
            <v>230988750000</v>
          </cell>
          <cell r="H467">
            <v>62366963</v>
          </cell>
          <cell r="I467">
            <v>26548548000</v>
          </cell>
          <cell r="J467">
            <v>223336200000</v>
          </cell>
          <cell r="K467">
            <v>249884748000</v>
          </cell>
          <cell r="L467">
            <v>0</v>
          </cell>
          <cell r="M467">
            <v>14391795000</v>
          </cell>
          <cell r="N467">
            <v>26015000000</v>
          </cell>
          <cell r="O467">
            <v>40406795000</v>
          </cell>
          <cell r="P467">
            <v>30794000</v>
          </cell>
          <cell r="Q467">
            <v>0</v>
          </cell>
          <cell r="R467">
            <v>30794000</v>
          </cell>
          <cell r="S467">
            <v>2373686000</v>
          </cell>
          <cell r="V467">
            <v>551836000</v>
          </cell>
          <cell r="W467">
            <v>0</v>
          </cell>
          <cell r="X467">
            <v>551836000</v>
          </cell>
          <cell r="AK467">
            <v>49834693</v>
          </cell>
          <cell r="AL467">
            <v>1665360</v>
          </cell>
        </row>
        <row r="468">
          <cell r="B468">
            <v>44246</v>
          </cell>
          <cell r="C468">
            <v>26289715000</v>
          </cell>
          <cell r="D468">
            <v>11768180000</v>
          </cell>
          <cell r="G468">
            <v>38057895000</v>
          </cell>
          <cell r="H468">
            <v>10275632</v>
          </cell>
          <cell r="I468">
            <v>2811567000</v>
          </cell>
          <cell r="J468">
            <v>104822500000</v>
          </cell>
          <cell r="K468">
            <v>107634067000</v>
          </cell>
          <cell r="M468">
            <v>840318000</v>
          </cell>
          <cell r="O468">
            <v>840318000</v>
          </cell>
          <cell r="P468">
            <v>3070000</v>
          </cell>
          <cell r="R468">
            <v>3070000</v>
          </cell>
          <cell r="S468">
            <v>452656000</v>
          </cell>
          <cell r="V468">
            <v>4428000</v>
          </cell>
          <cell r="X468">
            <v>4428000</v>
          </cell>
          <cell r="AK468">
            <v>19345060</v>
          </cell>
          <cell r="AL468">
            <v>208380</v>
          </cell>
        </row>
        <row r="469">
          <cell r="B469">
            <v>44249</v>
          </cell>
          <cell r="C469">
            <v>37002980000</v>
          </cell>
          <cell r="D469">
            <v>12684125000</v>
          </cell>
          <cell r="G469">
            <v>49687105000</v>
          </cell>
          <cell r="H469">
            <v>13415518</v>
          </cell>
          <cell r="I469">
            <v>132732000</v>
          </cell>
          <cell r="J469">
            <v>55494000000</v>
          </cell>
          <cell r="K469">
            <v>55626732000</v>
          </cell>
          <cell r="M469">
            <v>5530187000</v>
          </cell>
          <cell r="O469">
            <v>5530187000</v>
          </cell>
          <cell r="P469">
            <v>1558000</v>
          </cell>
          <cell r="R469">
            <v>1558000</v>
          </cell>
          <cell r="S469">
            <v>546594000</v>
          </cell>
          <cell r="V469">
            <v>4430000</v>
          </cell>
          <cell r="X469">
            <v>4430000</v>
          </cell>
          <cell r="AK469">
            <v>10699868</v>
          </cell>
          <cell r="AL469">
            <v>298650</v>
          </cell>
        </row>
        <row r="470">
          <cell r="B470">
            <v>44250</v>
          </cell>
          <cell r="C470">
            <v>66895160000</v>
          </cell>
          <cell r="D470">
            <v>29583070000</v>
          </cell>
          <cell r="G470">
            <v>96478230000</v>
          </cell>
          <cell r="H470">
            <v>26049122</v>
          </cell>
          <cell r="I470">
            <v>1138648000</v>
          </cell>
          <cell r="J470">
            <v>51603000000</v>
          </cell>
          <cell r="K470">
            <v>52741648000</v>
          </cell>
          <cell r="M470">
            <v>4712843000</v>
          </cell>
          <cell r="O470">
            <v>4712843000</v>
          </cell>
          <cell r="P470">
            <v>3091000</v>
          </cell>
          <cell r="R470">
            <v>3091000</v>
          </cell>
          <cell r="S470">
            <v>597341000</v>
          </cell>
          <cell r="V470">
            <v>0</v>
          </cell>
          <cell r="AK470">
            <v>10028356</v>
          </cell>
          <cell r="AL470">
            <v>448230</v>
          </cell>
        </row>
        <row r="471">
          <cell r="B471">
            <v>44251</v>
          </cell>
          <cell r="C471">
            <v>40471100000</v>
          </cell>
          <cell r="D471">
            <v>17133085000</v>
          </cell>
          <cell r="G471">
            <v>57604185000</v>
          </cell>
          <cell r="H471">
            <v>15553130</v>
          </cell>
          <cell r="I471">
            <v>7979052000</v>
          </cell>
          <cell r="J471">
            <v>35356100000</v>
          </cell>
          <cell r="K471">
            <v>43335152000</v>
          </cell>
          <cell r="M471">
            <v>2583819000</v>
          </cell>
          <cell r="O471">
            <v>2583819000</v>
          </cell>
          <cell r="P471">
            <v>1553000</v>
          </cell>
          <cell r="R471">
            <v>1553000</v>
          </cell>
          <cell r="S471">
            <v>357557000</v>
          </cell>
          <cell r="V471">
            <v>585872000</v>
          </cell>
          <cell r="X471">
            <v>585872000</v>
          </cell>
          <cell r="AK471">
            <v>7674873</v>
          </cell>
          <cell r="AL471">
            <v>496920</v>
          </cell>
        </row>
        <row r="472">
          <cell r="B472">
            <v>44252</v>
          </cell>
          <cell r="C472">
            <v>17645555000</v>
          </cell>
          <cell r="D472">
            <v>16012105000</v>
          </cell>
          <cell r="G472">
            <v>33657660000</v>
          </cell>
          <cell r="H472">
            <v>9087568</v>
          </cell>
          <cell r="I472">
            <v>2368734000</v>
          </cell>
          <cell r="K472">
            <v>2368734000</v>
          </cell>
          <cell r="M472">
            <v>425227000</v>
          </cell>
          <cell r="O472">
            <v>425227000</v>
          </cell>
          <cell r="P472">
            <v>3029000</v>
          </cell>
          <cell r="R472">
            <v>3029000</v>
          </cell>
          <cell r="S472">
            <v>695597000</v>
          </cell>
          <cell r="V472">
            <v>1451000</v>
          </cell>
          <cell r="X472">
            <v>1451000</v>
          </cell>
          <cell r="AK472">
            <v>427544</v>
          </cell>
          <cell r="AL472">
            <v>150270</v>
          </cell>
        </row>
        <row r="473">
          <cell r="C473">
            <v>188304510000</v>
          </cell>
          <cell r="D473">
            <v>87180565000</v>
          </cell>
          <cell r="E473">
            <v>0</v>
          </cell>
          <cell r="F473">
            <v>0</v>
          </cell>
          <cell r="G473">
            <v>275485075000</v>
          </cell>
          <cell r="H473">
            <v>74380970</v>
          </cell>
          <cell r="I473">
            <v>14430733000</v>
          </cell>
          <cell r="J473">
            <v>247275600000</v>
          </cell>
          <cell r="K473">
            <v>261706333000</v>
          </cell>
          <cell r="L473">
            <v>0</v>
          </cell>
          <cell r="M473">
            <v>14092394000</v>
          </cell>
          <cell r="N473">
            <v>0</v>
          </cell>
          <cell r="O473">
            <v>14092394000</v>
          </cell>
          <cell r="P473">
            <v>12301000</v>
          </cell>
          <cell r="Q473">
            <v>0</v>
          </cell>
          <cell r="R473">
            <v>12301000</v>
          </cell>
          <cell r="S473">
            <v>2649745000</v>
          </cell>
          <cell r="V473">
            <v>596181000</v>
          </cell>
          <cell r="W473">
            <v>0</v>
          </cell>
          <cell r="X473">
            <v>596181000</v>
          </cell>
          <cell r="AK473">
            <v>48175701</v>
          </cell>
          <cell r="AL473">
            <v>1602450</v>
          </cell>
        </row>
        <row r="474">
          <cell r="B474">
            <v>44253</v>
          </cell>
          <cell r="C474">
            <v>100621649000</v>
          </cell>
          <cell r="D474">
            <v>16604920000</v>
          </cell>
          <cell r="G474">
            <v>117226569000</v>
          </cell>
          <cell r="H474">
            <v>31651174</v>
          </cell>
          <cell r="I474">
            <v>2819200000</v>
          </cell>
          <cell r="J474">
            <v>25258500000</v>
          </cell>
          <cell r="K474">
            <v>28077700000</v>
          </cell>
          <cell r="M474">
            <v>238372000</v>
          </cell>
          <cell r="O474">
            <v>238372000</v>
          </cell>
          <cell r="P474">
            <v>4590000</v>
          </cell>
          <cell r="R474">
            <v>4590000</v>
          </cell>
          <cell r="S474">
            <v>461800000</v>
          </cell>
          <cell r="V474">
            <v>7245000</v>
          </cell>
          <cell r="X474">
            <v>7245000</v>
          </cell>
          <cell r="AK474">
            <v>4961672</v>
          </cell>
          <cell r="AL474">
            <v>566880</v>
          </cell>
        </row>
        <row r="475">
          <cell r="B475">
            <v>44256</v>
          </cell>
          <cell r="C475">
            <v>2545530000</v>
          </cell>
          <cell r="G475">
            <v>2545530000</v>
          </cell>
          <cell r="H475">
            <v>687293</v>
          </cell>
          <cell r="I475">
            <v>2057877000</v>
          </cell>
          <cell r="J475">
            <v>0</v>
          </cell>
          <cell r="K475">
            <v>2057877000</v>
          </cell>
          <cell r="M475">
            <v>3978000</v>
          </cell>
          <cell r="O475">
            <v>3978000</v>
          </cell>
          <cell r="P475">
            <v>4660000</v>
          </cell>
          <cell r="R475">
            <v>4660000</v>
          </cell>
          <cell r="S475">
            <v>519099000</v>
          </cell>
          <cell r="V475">
            <v>300593000</v>
          </cell>
          <cell r="X475">
            <v>300593000</v>
          </cell>
          <cell r="AK475">
            <v>370728</v>
          </cell>
          <cell r="AL475">
            <v>40650</v>
          </cell>
        </row>
        <row r="476">
          <cell r="B476">
            <v>44257</v>
          </cell>
          <cell r="C476">
            <v>79051875000</v>
          </cell>
          <cell r="D476">
            <v>8458015000</v>
          </cell>
          <cell r="G476">
            <v>87509890000</v>
          </cell>
          <cell r="H476">
            <v>23627670</v>
          </cell>
          <cell r="I476">
            <v>2143809000</v>
          </cell>
          <cell r="J476">
            <v>36210000000</v>
          </cell>
          <cell r="K476">
            <v>38353809000</v>
          </cell>
          <cell r="M476">
            <v>1198940000</v>
          </cell>
          <cell r="O476">
            <v>1198940000</v>
          </cell>
          <cell r="P476">
            <v>4792000</v>
          </cell>
          <cell r="R476">
            <v>4792000</v>
          </cell>
          <cell r="S476">
            <v>666157000</v>
          </cell>
          <cell r="V476">
            <v>732494000</v>
          </cell>
          <cell r="X476">
            <v>732494000</v>
          </cell>
          <cell r="AK476">
            <v>7131092</v>
          </cell>
          <cell r="AL476">
            <v>189630</v>
          </cell>
        </row>
        <row r="477">
          <cell r="B477">
            <v>44258</v>
          </cell>
          <cell r="C477">
            <v>26889280000</v>
          </cell>
          <cell r="D477">
            <v>7804065000</v>
          </cell>
          <cell r="G477">
            <v>34693345000</v>
          </cell>
          <cell r="H477">
            <v>9367203</v>
          </cell>
          <cell r="I477">
            <v>6401051000</v>
          </cell>
          <cell r="J477">
            <v>84113000000</v>
          </cell>
          <cell r="K477">
            <v>90514051000</v>
          </cell>
          <cell r="M477">
            <v>1546990000</v>
          </cell>
          <cell r="O477">
            <v>1546990000</v>
          </cell>
          <cell r="P477">
            <v>0</v>
          </cell>
          <cell r="Q477">
            <v>0</v>
          </cell>
          <cell r="R477">
            <v>0</v>
          </cell>
          <cell r="S477">
            <v>513854000</v>
          </cell>
          <cell r="V477">
            <v>2986000</v>
          </cell>
          <cell r="X477">
            <v>2986000</v>
          </cell>
          <cell r="AK477">
            <v>16091760</v>
          </cell>
          <cell r="AL477">
            <v>232920</v>
          </cell>
        </row>
        <row r="478">
          <cell r="B478">
            <v>44259</v>
          </cell>
          <cell r="C478">
            <v>24237125000</v>
          </cell>
          <cell r="D478">
            <v>8539860000</v>
          </cell>
          <cell r="G478">
            <v>32776985000</v>
          </cell>
          <cell r="H478">
            <v>8849786</v>
          </cell>
          <cell r="I478">
            <v>2233619000</v>
          </cell>
          <cell r="J478">
            <v>71262000000</v>
          </cell>
          <cell r="K478">
            <v>73495619000</v>
          </cell>
          <cell r="M478">
            <v>3154686000</v>
          </cell>
          <cell r="O478">
            <v>3154686000</v>
          </cell>
          <cell r="P478">
            <v>4656000</v>
          </cell>
          <cell r="R478">
            <v>4656000</v>
          </cell>
          <cell r="S478">
            <v>190145000</v>
          </cell>
          <cell r="V478">
            <v>11793000</v>
          </cell>
          <cell r="X478">
            <v>11793000</v>
          </cell>
          <cell r="AK478">
            <v>13445949</v>
          </cell>
          <cell r="AL478">
            <v>169500</v>
          </cell>
        </row>
        <row r="479">
          <cell r="C479">
            <v>233345459000</v>
          </cell>
          <cell r="D479">
            <v>41406860000</v>
          </cell>
          <cell r="E479">
            <v>0</v>
          </cell>
          <cell r="F479">
            <v>0</v>
          </cell>
          <cell r="G479">
            <v>274752319000</v>
          </cell>
          <cell r="H479">
            <v>74183126</v>
          </cell>
          <cell r="I479">
            <v>15655556000</v>
          </cell>
          <cell r="J479">
            <v>216843500000</v>
          </cell>
          <cell r="K479">
            <v>232499056000</v>
          </cell>
          <cell r="L479">
            <v>0</v>
          </cell>
          <cell r="M479">
            <v>6142966000</v>
          </cell>
          <cell r="N479">
            <v>0</v>
          </cell>
          <cell r="O479">
            <v>6142966000</v>
          </cell>
          <cell r="P479">
            <v>18698000</v>
          </cell>
          <cell r="Q479">
            <v>0</v>
          </cell>
          <cell r="R479">
            <v>18698000</v>
          </cell>
          <cell r="S479">
            <v>2351055000</v>
          </cell>
          <cell r="V479">
            <v>1055111000</v>
          </cell>
          <cell r="W479">
            <v>0</v>
          </cell>
          <cell r="X479">
            <v>1055111000</v>
          </cell>
          <cell r="AK479">
            <v>42001201</v>
          </cell>
          <cell r="AL479">
            <v>1199580</v>
          </cell>
        </row>
        <row r="480">
          <cell r="B480">
            <v>44260</v>
          </cell>
          <cell r="C480">
            <v>80454890000</v>
          </cell>
          <cell r="D480">
            <v>8470000000</v>
          </cell>
          <cell r="G480">
            <v>88924890000</v>
          </cell>
          <cell r="H480">
            <v>24009720</v>
          </cell>
          <cell r="I480">
            <v>615784000</v>
          </cell>
          <cell r="J480">
            <v>100057000000</v>
          </cell>
          <cell r="K480">
            <v>100672784000</v>
          </cell>
          <cell r="M480">
            <v>13673000</v>
          </cell>
          <cell r="N480">
            <v>0</v>
          </cell>
          <cell r="O480">
            <v>13673000</v>
          </cell>
          <cell r="P480">
            <v>4605000</v>
          </cell>
          <cell r="R480">
            <v>4605000</v>
          </cell>
          <cell r="S480">
            <v>473728000</v>
          </cell>
          <cell r="V480">
            <v>2906000</v>
          </cell>
          <cell r="W480">
            <v>0</v>
          </cell>
          <cell r="X480">
            <v>2906000</v>
          </cell>
          <cell r="AK480">
            <v>18164533</v>
          </cell>
          <cell r="AL480">
            <v>441210</v>
          </cell>
        </row>
        <row r="481">
          <cell r="B481">
            <v>44263</v>
          </cell>
          <cell r="C481">
            <v>55964045000</v>
          </cell>
          <cell r="D481">
            <v>22453555000</v>
          </cell>
          <cell r="G481">
            <v>78417600000</v>
          </cell>
          <cell r="H481">
            <v>21172752</v>
          </cell>
          <cell r="I481">
            <v>915698000</v>
          </cell>
          <cell r="J481">
            <v>64765400000</v>
          </cell>
          <cell r="K481">
            <v>65681098000</v>
          </cell>
          <cell r="M481">
            <v>3936529000</v>
          </cell>
          <cell r="O481">
            <v>3936529000</v>
          </cell>
          <cell r="P481">
            <v>299764000</v>
          </cell>
          <cell r="R481">
            <v>299764000</v>
          </cell>
          <cell r="S481">
            <v>479323000</v>
          </cell>
          <cell r="V481">
            <v>2934000</v>
          </cell>
          <cell r="X481">
            <v>2934000</v>
          </cell>
          <cell r="AK481">
            <v>12300993</v>
          </cell>
          <cell r="AL481">
            <v>395040</v>
          </cell>
        </row>
        <row r="482">
          <cell r="B482">
            <v>44264</v>
          </cell>
          <cell r="C482">
            <v>53162885000</v>
          </cell>
          <cell r="D482">
            <v>22616855000</v>
          </cell>
          <cell r="G482">
            <v>75779740000</v>
          </cell>
          <cell r="H482">
            <v>20460530</v>
          </cell>
          <cell r="I482">
            <v>448627000</v>
          </cell>
          <cell r="J482">
            <v>85510000000</v>
          </cell>
          <cell r="K482">
            <v>85958627000</v>
          </cell>
          <cell r="M482">
            <v>461527000</v>
          </cell>
          <cell r="O482">
            <v>461527000</v>
          </cell>
          <cell r="P482">
            <v>0</v>
          </cell>
          <cell r="R482">
            <v>0</v>
          </cell>
          <cell r="S482">
            <v>448050000</v>
          </cell>
          <cell r="V482">
            <v>7209000</v>
          </cell>
          <cell r="W482">
            <v>540888000</v>
          </cell>
          <cell r="X482">
            <v>548097000</v>
          </cell>
          <cell r="AK482">
            <v>15669403</v>
          </cell>
          <cell r="AL482">
            <v>309240</v>
          </cell>
        </row>
        <row r="483">
          <cell r="B483">
            <v>44265</v>
          </cell>
          <cell r="C483">
            <v>83495775000</v>
          </cell>
          <cell r="D483">
            <v>29313400000</v>
          </cell>
          <cell r="G483">
            <v>112809175000</v>
          </cell>
          <cell r="H483">
            <v>30458477</v>
          </cell>
          <cell r="I483">
            <v>295696000</v>
          </cell>
          <cell r="J483">
            <v>0</v>
          </cell>
          <cell r="K483">
            <v>295696000</v>
          </cell>
          <cell r="M483">
            <v>1444044000</v>
          </cell>
          <cell r="O483">
            <v>1444044000</v>
          </cell>
          <cell r="P483">
            <v>7516000</v>
          </cell>
          <cell r="R483">
            <v>7516000</v>
          </cell>
          <cell r="S483">
            <v>453425000</v>
          </cell>
          <cell r="V483">
            <v>14480000</v>
          </cell>
          <cell r="X483">
            <v>14480000</v>
          </cell>
          <cell r="AK483">
            <v>272927</v>
          </cell>
          <cell r="AL483">
            <v>590910</v>
          </cell>
        </row>
        <row r="484">
          <cell r="B484">
            <v>44266</v>
          </cell>
          <cell r="C484">
            <v>27312335000</v>
          </cell>
          <cell r="D484">
            <v>15782835000</v>
          </cell>
          <cell r="G484">
            <v>43095170000</v>
          </cell>
          <cell r="H484">
            <v>11635696</v>
          </cell>
          <cell r="I484">
            <v>6193296000</v>
          </cell>
          <cell r="J484">
            <v>9960500000</v>
          </cell>
          <cell r="K484">
            <v>16153796000</v>
          </cell>
          <cell r="M484">
            <v>1430508000</v>
          </cell>
          <cell r="N484">
            <v>7940000000</v>
          </cell>
          <cell r="O484">
            <v>9370508000</v>
          </cell>
          <cell r="P484">
            <v>372120000</v>
          </cell>
          <cell r="R484">
            <v>372120000</v>
          </cell>
          <cell r="S484">
            <v>488223000</v>
          </cell>
          <cell r="V484">
            <v>17738000</v>
          </cell>
          <cell r="W484">
            <v>2955200000</v>
          </cell>
          <cell r="X484">
            <v>2972938000</v>
          </cell>
          <cell r="AK484">
            <v>4708659</v>
          </cell>
          <cell r="AL484">
            <v>248460</v>
          </cell>
        </row>
        <row r="485">
          <cell r="C485">
            <v>300389930000</v>
          </cell>
          <cell r="D485">
            <v>98636645000</v>
          </cell>
          <cell r="E485">
            <v>0</v>
          </cell>
          <cell r="F485">
            <v>0</v>
          </cell>
          <cell r="G485">
            <v>399026575000</v>
          </cell>
          <cell r="H485">
            <v>107737175</v>
          </cell>
          <cell r="I485">
            <v>8469101000</v>
          </cell>
          <cell r="J485">
            <v>260292900000</v>
          </cell>
          <cell r="K485">
            <v>268762001000</v>
          </cell>
          <cell r="L485">
            <v>0</v>
          </cell>
          <cell r="M485">
            <v>7286281000</v>
          </cell>
          <cell r="N485">
            <v>7940000000</v>
          </cell>
          <cell r="O485">
            <v>15226281000</v>
          </cell>
          <cell r="P485">
            <v>684005000</v>
          </cell>
          <cell r="Q485">
            <v>0</v>
          </cell>
          <cell r="R485">
            <v>684005000</v>
          </cell>
          <cell r="S485">
            <v>2342749000</v>
          </cell>
          <cell r="V485">
            <v>45267000</v>
          </cell>
          <cell r="W485">
            <v>3496088000</v>
          </cell>
          <cell r="X485">
            <v>3541355000</v>
          </cell>
          <cell r="AK485">
            <v>51116515</v>
          </cell>
          <cell r="AL485">
            <v>1984860</v>
          </cell>
        </row>
        <row r="486">
          <cell r="B486">
            <v>44267</v>
          </cell>
          <cell r="C486">
            <v>56368790000</v>
          </cell>
          <cell r="D486">
            <v>24045755000</v>
          </cell>
          <cell r="G486">
            <v>80414545000</v>
          </cell>
          <cell r="H486">
            <v>21711927</v>
          </cell>
          <cell r="I486">
            <v>791328000</v>
          </cell>
          <cell r="J486">
            <v>11967600000</v>
          </cell>
          <cell r="K486">
            <v>12758928000</v>
          </cell>
          <cell r="M486">
            <v>2146100000</v>
          </cell>
          <cell r="O486">
            <v>2146100000</v>
          </cell>
          <cell r="P486">
            <v>23850000</v>
          </cell>
          <cell r="R486">
            <v>23850000</v>
          </cell>
          <cell r="S486">
            <v>531354000</v>
          </cell>
          <cell r="V486">
            <v>492161000</v>
          </cell>
          <cell r="X486">
            <v>492161000</v>
          </cell>
          <cell r="AK486">
            <v>2658219</v>
          </cell>
          <cell r="AL486">
            <v>379650</v>
          </cell>
        </row>
        <row r="487">
          <cell r="B487">
            <v>44270</v>
          </cell>
          <cell r="C487">
            <v>36473920000</v>
          </cell>
          <cell r="G487">
            <v>36473920000</v>
          </cell>
          <cell r="H487">
            <v>9847958</v>
          </cell>
          <cell r="I487">
            <v>6524936000</v>
          </cell>
          <cell r="J487">
            <v>63881500000</v>
          </cell>
          <cell r="K487">
            <v>70406436000</v>
          </cell>
          <cell r="M487">
            <v>9994013000</v>
          </cell>
          <cell r="O487">
            <v>9994013000</v>
          </cell>
          <cell r="P487">
            <v>126880000</v>
          </cell>
          <cell r="R487">
            <v>126880000</v>
          </cell>
          <cell r="S487">
            <v>778698000</v>
          </cell>
          <cell r="V487">
            <v>1720573000</v>
          </cell>
          <cell r="X487">
            <v>1720573000</v>
          </cell>
          <cell r="AK487">
            <v>13746288</v>
          </cell>
          <cell r="AL487">
            <v>418830</v>
          </cell>
        </row>
        <row r="488">
          <cell r="B488">
            <v>44271</v>
          </cell>
          <cell r="C488">
            <v>8439815000</v>
          </cell>
          <cell r="G488">
            <v>8439815000</v>
          </cell>
          <cell r="H488">
            <v>2278750</v>
          </cell>
          <cell r="I488">
            <v>0</v>
          </cell>
          <cell r="J488">
            <v>35911000000</v>
          </cell>
          <cell r="K488">
            <v>35911000000</v>
          </cell>
          <cell r="M488">
            <v>3296500000</v>
          </cell>
          <cell r="O488">
            <v>3296500000</v>
          </cell>
          <cell r="P488">
            <v>7884000</v>
          </cell>
          <cell r="R488">
            <v>7884000</v>
          </cell>
          <cell r="S488">
            <v>287613000</v>
          </cell>
          <cell r="V488">
            <v>2954000</v>
          </cell>
          <cell r="X488">
            <v>2954000</v>
          </cell>
          <cell r="AK488">
            <v>6873156</v>
          </cell>
          <cell r="AL488">
            <v>102180</v>
          </cell>
        </row>
        <row r="489">
          <cell r="B489">
            <v>44272</v>
          </cell>
          <cell r="C489">
            <v>28962690000</v>
          </cell>
          <cell r="D489">
            <v>11278265000</v>
          </cell>
          <cell r="G489">
            <v>40240955000</v>
          </cell>
          <cell r="H489">
            <v>10865058</v>
          </cell>
          <cell r="I489">
            <v>4069675000</v>
          </cell>
          <cell r="J489">
            <v>15952000000</v>
          </cell>
          <cell r="K489">
            <v>20021675000</v>
          </cell>
          <cell r="M489">
            <v>1329240000</v>
          </cell>
          <cell r="O489">
            <v>1329240000</v>
          </cell>
          <cell r="P489">
            <v>6351000</v>
          </cell>
          <cell r="R489">
            <v>6351000</v>
          </cell>
          <cell r="S489">
            <v>956350000</v>
          </cell>
          <cell r="V489">
            <v>5918000</v>
          </cell>
          <cell r="X489">
            <v>5918000</v>
          </cell>
          <cell r="AK489">
            <v>3628337</v>
          </cell>
          <cell r="AL489">
            <v>251040</v>
          </cell>
        </row>
        <row r="490">
          <cell r="B490">
            <v>44273</v>
          </cell>
          <cell r="C490">
            <v>8470000000</v>
          </cell>
          <cell r="G490">
            <v>8470000000</v>
          </cell>
          <cell r="H490">
            <v>2286900</v>
          </cell>
          <cell r="I490">
            <v>0</v>
          </cell>
          <cell r="J490">
            <v>284480000000</v>
          </cell>
          <cell r="K490">
            <v>284480000000</v>
          </cell>
          <cell r="M490">
            <v>2029000</v>
          </cell>
          <cell r="O490">
            <v>2029000</v>
          </cell>
          <cell r="P490">
            <v>1631000</v>
          </cell>
          <cell r="R490">
            <v>1631000</v>
          </cell>
          <cell r="S490">
            <v>480727000</v>
          </cell>
          <cell r="V490">
            <v>1503000</v>
          </cell>
          <cell r="X490">
            <v>1503000</v>
          </cell>
          <cell r="AK490">
            <v>51293597</v>
          </cell>
          <cell r="AL490">
            <v>34500</v>
          </cell>
        </row>
        <row r="491">
          <cell r="C491">
            <v>138715215000</v>
          </cell>
          <cell r="D491">
            <v>35324020000</v>
          </cell>
          <cell r="E491">
            <v>0</v>
          </cell>
          <cell r="F491">
            <v>0</v>
          </cell>
          <cell r="G491">
            <v>174039235000</v>
          </cell>
          <cell r="H491">
            <v>46990593</v>
          </cell>
          <cell r="I491">
            <v>11385939000</v>
          </cell>
          <cell r="J491">
            <v>412192100000</v>
          </cell>
          <cell r="K491">
            <v>423578039000</v>
          </cell>
          <cell r="L491">
            <v>0</v>
          </cell>
          <cell r="M491">
            <v>16767882000</v>
          </cell>
          <cell r="N491">
            <v>0</v>
          </cell>
          <cell r="O491">
            <v>16767882000</v>
          </cell>
          <cell r="P491">
            <v>166596000</v>
          </cell>
          <cell r="Q491">
            <v>0</v>
          </cell>
          <cell r="R491">
            <v>166596000</v>
          </cell>
          <cell r="S491">
            <v>3034742000</v>
          </cell>
          <cell r="V491">
            <v>2223109000</v>
          </cell>
          <cell r="W491">
            <v>0</v>
          </cell>
          <cell r="X491">
            <v>2223109000</v>
          </cell>
          <cell r="AK491">
            <v>78199597</v>
          </cell>
          <cell r="AL491">
            <v>1186200</v>
          </cell>
        </row>
        <row r="492">
          <cell r="B492">
            <v>44274</v>
          </cell>
          <cell r="C492">
            <v>73866025000</v>
          </cell>
          <cell r="D492">
            <v>27477815000</v>
          </cell>
          <cell r="G492">
            <v>101343840000</v>
          </cell>
          <cell r="H492">
            <v>27362837</v>
          </cell>
          <cell r="I492">
            <v>2021000</v>
          </cell>
          <cell r="J492">
            <v>62782000000</v>
          </cell>
          <cell r="K492">
            <v>62784021000</v>
          </cell>
          <cell r="M492">
            <v>40760000</v>
          </cell>
          <cell r="O492">
            <v>40760000</v>
          </cell>
          <cell r="P492">
            <v>1638000</v>
          </cell>
          <cell r="R492">
            <v>1638000</v>
          </cell>
          <cell r="S492">
            <v>570041000</v>
          </cell>
          <cell r="V492">
            <v>605989000</v>
          </cell>
          <cell r="X492">
            <v>605989000</v>
          </cell>
          <cell r="AK492">
            <v>11517243</v>
          </cell>
          <cell r="AL492">
            <v>449340</v>
          </cell>
        </row>
        <row r="493">
          <cell r="B493">
            <v>44277</v>
          </cell>
          <cell r="C493">
            <v>15585810000</v>
          </cell>
          <cell r="D493">
            <v>6465205000</v>
          </cell>
          <cell r="G493">
            <v>22051015000</v>
          </cell>
          <cell r="H493">
            <v>5953774</v>
          </cell>
          <cell r="I493">
            <v>0</v>
          </cell>
          <cell r="J493">
            <v>26347500000</v>
          </cell>
          <cell r="K493">
            <v>26347500000</v>
          </cell>
          <cell r="M493">
            <v>0</v>
          </cell>
          <cell r="O493">
            <v>0</v>
          </cell>
          <cell r="P493">
            <v>8130000</v>
          </cell>
          <cell r="R493">
            <v>8130000</v>
          </cell>
          <cell r="S493">
            <v>468069000</v>
          </cell>
          <cell r="V493">
            <v>16498000</v>
          </cell>
          <cell r="X493">
            <v>16498000</v>
          </cell>
          <cell r="AK493">
            <v>4830650</v>
          </cell>
          <cell r="AL493">
            <v>362280</v>
          </cell>
        </row>
        <row r="494">
          <cell r="B494">
            <v>44278</v>
          </cell>
          <cell r="C494">
            <v>130550450000</v>
          </cell>
          <cell r="D494">
            <v>60056570000</v>
          </cell>
          <cell r="G494">
            <v>190607020000</v>
          </cell>
          <cell r="H494">
            <v>51463895</v>
          </cell>
          <cell r="I494">
            <v>3979549000</v>
          </cell>
          <cell r="J494">
            <v>10001000000</v>
          </cell>
          <cell r="K494">
            <v>13980549000</v>
          </cell>
          <cell r="M494">
            <v>2027000</v>
          </cell>
          <cell r="O494">
            <v>2027000</v>
          </cell>
          <cell r="P494">
            <v>3196000</v>
          </cell>
          <cell r="R494">
            <v>3196000</v>
          </cell>
          <cell r="S494">
            <v>443005000</v>
          </cell>
          <cell r="V494">
            <v>1489000</v>
          </cell>
          <cell r="X494">
            <v>1489000</v>
          </cell>
          <cell r="AK494">
            <v>2310544</v>
          </cell>
          <cell r="AL494">
            <v>894840</v>
          </cell>
        </row>
        <row r="495">
          <cell r="B495">
            <v>44279</v>
          </cell>
          <cell r="C495">
            <v>47449165000</v>
          </cell>
          <cell r="D495">
            <v>13164315000</v>
          </cell>
          <cell r="G495">
            <v>60613480000</v>
          </cell>
          <cell r="H495">
            <v>16365640</v>
          </cell>
          <cell r="I495">
            <v>2123913000</v>
          </cell>
          <cell r="J495">
            <v>19594000000</v>
          </cell>
          <cell r="K495">
            <v>21717913000</v>
          </cell>
          <cell r="M495">
            <v>0</v>
          </cell>
          <cell r="O495">
            <v>0</v>
          </cell>
          <cell r="P495">
            <v>11055000</v>
          </cell>
          <cell r="R495">
            <v>11055000</v>
          </cell>
          <cell r="S495">
            <v>641523000</v>
          </cell>
          <cell r="V495">
            <v>8748000</v>
          </cell>
          <cell r="X495">
            <v>8748000</v>
          </cell>
          <cell r="AK495">
            <v>3874545</v>
          </cell>
          <cell r="AL495">
            <v>354000</v>
          </cell>
        </row>
        <row r="496">
          <cell r="B496">
            <v>44280</v>
          </cell>
          <cell r="C496">
            <v>28260765000</v>
          </cell>
          <cell r="D496">
            <v>21531205000</v>
          </cell>
          <cell r="G496">
            <v>49791970000</v>
          </cell>
          <cell r="H496">
            <v>13443832</v>
          </cell>
          <cell r="I496">
            <v>17572000</v>
          </cell>
          <cell r="J496">
            <v>11832000000</v>
          </cell>
          <cell r="K496">
            <v>11849572000</v>
          </cell>
          <cell r="M496">
            <v>7949000</v>
          </cell>
          <cell r="O496">
            <v>7949000</v>
          </cell>
          <cell r="P496">
            <v>3136000</v>
          </cell>
          <cell r="R496">
            <v>3136000</v>
          </cell>
          <cell r="S496">
            <v>517820000</v>
          </cell>
          <cell r="V496">
            <v>40921000</v>
          </cell>
          <cell r="X496">
            <v>40921000</v>
          </cell>
          <cell r="AK496">
            <v>2233428</v>
          </cell>
          <cell r="AL496">
            <v>349710</v>
          </cell>
        </row>
        <row r="497">
          <cell r="C497">
            <v>295712215000</v>
          </cell>
          <cell r="D497">
            <v>128695110000</v>
          </cell>
          <cell r="E497">
            <v>0</v>
          </cell>
          <cell r="F497">
            <v>0</v>
          </cell>
          <cell r="G497">
            <v>424407325000</v>
          </cell>
          <cell r="H497">
            <v>114589978</v>
          </cell>
          <cell r="I497">
            <v>6123055000</v>
          </cell>
          <cell r="J497">
            <v>130556500000</v>
          </cell>
          <cell r="K497">
            <v>136679555000</v>
          </cell>
          <cell r="L497">
            <v>0</v>
          </cell>
          <cell r="M497">
            <v>50736000</v>
          </cell>
          <cell r="N497">
            <v>0</v>
          </cell>
          <cell r="O497">
            <v>50736000</v>
          </cell>
          <cell r="P497">
            <v>27155000</v>
          </cell>
          <cell r="Q497">
            <v>0</v>
          </cell>
          <cell r="R497">
            <v>27155000</v>
          </cell>
          <cell r="S497">
            <v>2640458000</v>
          </cell>
          <cell r="V497">
            <v>673645000</v>
          </cell>
          <cell r="W497">
            <v>0</v>
          </cell>
          <cell r="X497">
            <v>673645000</v>
          </cell>
          <cell r="AK497">
            <v>24766410</v>
          </cell>
          <cell r="AL497">
            <v>2410170</v>
          </cell>
        </row>
        <row r="498">
          <cell r="B498">
            <v>44281</v>
          </cell>
          <cell r="C498">
            <v>40157190000</v>
          </cell>
          <cell r="G498">
            <v>40157190000</v>
          </cell>
          <cell r="H498">
            <v>10842441</v>
          </cell>
          <cell r="I498">
            <v>2968503000</v>
          </cell>
          <cell r="J498">
            <v>29180000000</v>
          </cell>
          <cell r="K498">
            <v>32148503000</v>
          </cell>
          <cell r="M498">
            <v>547830000</v>
          </cell>
          <cell r="N498">
            <v>3902000000</v>
          </cell>
          <cell r="O498">
            <v>4449830000</v>
          </cell>
          <cell r="P498">
            <v>1558000</v>
          </cell>
          <cell r="R498">
            <v>1558000</v>
          </cell>
          <cell r="S498">
            <v>503988000</v>
          </cell>
          <cell r="U498">
            <v>503988000</v>
          </cell>
          <cell r="V498">
            <v>4296000</v>
          </cell>
          <cell r="X498">
            <v>4296000</v>
          </cell>
          <cell r="AK498">
            <v>6426183</v>
          </cell>
          <cell r="AL498">
            <v>354480</v>
          </cell>
        </row>
        <row r="499">
          <cell r="B499">
            <v>44284</v>
          </cell>
          <cell r="C499">
            <v>37546680000</v>
          </cell>
          <cell r="G499">
            <v>37546680000</v>
          </cell>
          <cell r="H499">
            <v>10137604</v>
          </cell>
          <cell r="I499">
            <v>8257881000</v>
          </cell>
          <cell r="J499">
            <v>68722500000</v>
          </cell>
          <cell r="K499">
            <v>76980381000</v>
          </cell>
          <cell r="M499">
            <v>0</v>
          </cell>
          <cell r="N499">
            <v>15726000000</v>
          </cell>
          <cell r="O499">
            <v>15726000000</v>
          </cell>
          <cell r="P499">
            <v>1566000</v>
          </cell>
          <cell r="R499">
            <v>1566000</v>
          </cell>
          <cell r="S499">
            <v>615404000</v>
          </cell>
          <cell r="U499">
            <v>615404000</v>
          </cell>
          <cell r="V499">
            <v>2895000</v>
          </cell>
          <cell r="X499">
            <v>2895000</v>
          </cell>
          <cell r="AK499">
            <v>16204044</v>
          </cell>
          <cell r="AL499">
            <v>307710</v>
          </cell>
        </row>
        <row r="500">
          <cell r="B500">
            <v>44285</v>
          </cell>
          <cell r="C500">
            <v>7072530000</v>
          </cell>
          <cell r="G500">
            <v>7072530000</v>
          </cell>
          <cell r="H500">
            <v>1909583</v>
          </cell>
          <cell r="I500">
            <v>0</v>
          </cell>
          <cell r="J500">
            <v>15962000000</v>
          </cell>
          <cell r="K500">
            <v>15962000000</v>
          </cell>
          <cell r="M500">
            <v>654470000</v>
          </cell>
          <cell r="N500">
            <v>1981000000</v>
          </cell>
          <cell r="O500">
            <v>2635470000</v>
          </cell>
          <cell r="P500">
            <v>0</v>
          </cell>
          <cell r="R500">
            <v>0</v>
          </cell>
          <cell r="S500">
            <v>863589000</v>
          </cell>
          <cell r="U500">
            <v>863589000</v>
          </cell>
          <cell r="V500">
            <v>3035000</v>
          </cell>
          <cell r="X500">
            <v>3035000</v>
          </cell>
          <cell r="AK500">
            <v>3456415</v>
          </cell>
          <cell r="AL500">
            <v>15750</v>
          </cell>
        </row>
        <row r="501">
          <cell r="B501">
            <v>44286</v>
          </cell>
          <cell r="C501">
            <v>14079395000</v>
          </cell>
          <cell r="D501">
            <v>15944880000</v>
          </cell>
          <cell r="G501">
            <v>30024275000</v>
          </cell>
          <cell r="H501">
            <v>8106554</v>
          </cell>
          <cell r="I501">
            <v>156529000</v>
          </cell>
          <cell r="J501">
            <v>26031000000</v>
          </cell>
          <cell r="K501">
            <v>26187529000</v>
          </cell>
          <cell r="M501">
            <v>4313194000</v>
          </cell>
          <cell r="O501">
            <v>4313194000</v>
          </cell>
          <cell r="P501">
            <v>0</v>
          </cell>
          <cell r="R501">
            <v>0</v>
          </cell>
          <cell r="S501">
            <v>802748000</v>
          </cell>
          <cell r="U501">
            <v>802748000</v>
          </cell>
          <cell r="V501">
            <v>25428000</v>
          </cell>
          <cell r="W501">
            <v>2988000000</v>
          </cell>
          <cell r="X501">
            <v>3013428000</v>
          </cell>
          <cell r="AK501">
            <v>5855222</v>
          </cell>
          <cell r="AL501">
            <v>201258</v>
          </cell>
        </row>
        <row r="502">
          <cell r="B502">
            <v>44287</v>
          </cell>
          <cell r="C502">
            <v>63300545000</v>
          </cell>
          <cell r="D502">
            <v>2311475000</v>
          </cell>
          <cell r="G502">
            <v>65612020000</v>
          </cell>
          <cell r="H502">
            <v>17715245</v>
          </cell>
          <cell r="I502">
            <v>6818860000</v>
          </cell>
          <cell r="K502">
            <v>6818860000</v>
          </cell>
          <cell r="M502">
            <v>4193199000</v>
          </cell>
          <cell r="O502">
            <v>4193199000</v>
          </cell>
          <cell r="P502">
            <v>3276000</v>
          </cell>
          <cell r="R502">
            <v>3276000</v>
          </cell>
          <cell r="S502">
            <v>463923000</v>
          </cell>
          <cell r="U502">
            <v>463923000</v>
          </cell>
          <cell r="V502">
            <v>6000000</v>
          </cell>
          <cell r="X502">
            <v>6000000</v>
          </cell>
          <cell r="AK502">
            <v>1240408</v>
          </cell>
          <cell r="AL502">
            <v>420300</v>
          </cell>
        </row>
        <row r="503">
          <cell r="C503">
            <v>162156340000</v>
          </cell>
          <cell r="D503">
            <v>18256355000</v>
          </cell>
          <cell r="E503">
            <v>0</v>
          </cell>
          <cell r="F503">
            <v>0</v>
          </cell>
          <cell r="G503">
            <v>180412695000</v>
          </cell>
          <cell r="H503">
            <v>48711427</v>
          </cell>
          <cell r="I503">
            <v>18201773000</v>
          </cell>
          <cell r="J503">
            <v>139895500000</v>
          </cell>
          <cell r="K503">
            <v>158097273000</v>
          </cell>
          <cell r="L503">
            <v>0</v>
          </cell>
          <cell r="M503">
            <v>9708693000</v>
          </cell>
          <cell r="N503">
            <v>21609000000</v>
          </cell>
          <cell r="O503">
            <v>31317693000</v>
          </cell>
          <cell r="P503">
            <v>6400000</v>
          </cell>
          <cell r="Q503">
            <v>0</v>
          </cell>
          <cell r="R503">
            <v>6400000</v>
          </cell>
          <cell r="S503">
            <v>3249652000</v>
          </cell>
          <cell r="U503">
            <v>3249652000</v>
          </cell>
          <cell r="V503">
            <v>41654000</v>
          </cell>
          <cell r="W503">
            <v>2988000000</v>
          </cell>
          <cell r="X503">
            <v>3029654000</v>
          </cell>
          <cell r="AK503">
            <v>32979133</v>
          </cell>
          <cell r="AL503">
            <v>1299498</v>
          </cell>
        </row>
        <row r="504">
          <cell r="B504">
            <v>44288</v>
          </cell>
          <cell r="C504">
            <v>44911785000</v>
          </cell>
          <cell r="G504">
            <v>44911785000</v>
          </cell>
          <cell r="H504">
            <v>12126182</v>
          </cell>
          <cell r="I504">
            <v>233113000</v>
          </cell>
          <cell r="J504">
            <v>17840480000</v>
          </cell>
          <cell r="K504">
            <v>18073593000</v>
          </cell>
          <cell r="M504">
            <v>7940926000</v>
          </cell>
          <cell r="N504">
            <v>16416000000</v>
          </cell>
          <cell r="O504">
            <v>24356926000</v>
          </cell>
          <cell r="P504">
            <v>0</v>
          </cell>
          <cell r="R504">
            <v>0</v>
          </cell>
          <cell r="S504">
            <v>259882000</v>
          </cell>
          <cell r="U504">
            <v>259882000</v>
          </cell>
          <cell r="V504">
            <v>1534000</v>
          </cell>
          <cell r="W504">
            <v>3083000000</v>
          </cell>
          <cell r="X504">
            <v>3084534000</v>
          </cell>
          <cell r="AK504">
            <v>7632136</v>
          </cell>
          <cell r="AL504">
            <v>435870</v>
          </cell>
        </row>
        <row r="505">
          <cell r="B505">
            <v>44291</v>
          </cell>
          <cell r="C505">
            <v>26585240000</v>
          </cell>
          <cell r="G505">
            <v>26585240000</v>
          </cell>
          <cell r="H505">
            <v>7178015</v>
          </cell>
          <cell r="I505">
            <v>6300000</v>
          </cell>
          <cell r="J505">
            <v>12587700000</v>
          </cell>
          <cell r="K505">
            <v>12594000000</v>
          </cell>
          <cell r="M505">
            <v>4381212000</v>
          </cell>
          <cell r="N505">
            <v>10237000000</v>
          </cell>
          <cell r="O505">
            <v>14618212000</v>
          </cell>
          <cell r="P505">
            <v>151038000</v>
          </cell>
          <cell r="R505">
            <v>151038000</v>
          </cell>
          <cell r="S505">
            <v>449318000</v>
          </cell>
          <cell r="U505">
            <v>449318000</v>
          </cell>
          <cell r="V505">
            <v>10899000</v>
          </cell>
          <cell r="X505">
            <v>10899000</v>
          </cell>
          <cell r="AK505">
            <v>4648313</v>
          </cell>
          <cell r="AL505">
            <v>201900</v>
          </cell>
        </row>
        <row r="506">
          <cell r="B506">
            <v>44292</v>
          </cell>
          <cell r="C506">
            <v>36727485000</v>
          </cell>
          <cell r="G506">
            <v>36727485000</v>
          </cell>
          <cell r="H506">
            <v>9916421</v>
          </cell>
          <cell r="I506">
            <v>443742000</v>
          </cell>
          <cell r="J506">
            <v>20985000000</v>
          </cell>
          <cell r="K506">
            <v>21428742000</v>
          </cell>
          <cell r="M506">
            <v>5878057000</v>
          </cell>
          <cell r="N506">
            <v>4110000000</v>
          </cell>
          <cell r="O506">
            <v>9988057000</v>
          </cell>
          <cell r="P506">
            <v>141346000</v>
          </cell>
          <cell r="R506">
            <v>141346000</v>
          </cell>
          <cell r="S506">
            <v>820063000</v>
          </cell>
          <cell r="U506">
            <v>820063000</v>
          </cell>
          <cell r="V506">
            <v>388247000</v>
          </cell>
          <cell r="X506">
            <v>388247000</v>
          </cell>
          <cell r="AK506">
            <v>5345617</v>
          </cell>
          <cell r="AL506">
            <v>522060</v>
          </cell>
        </row>
        <row r="507">
          <cell r="B507">
            <v>44293</v>
          </cell>
          <cell r="C507">
            <v>27517280000</v>
          </cell>
          <cell r="G507">
            <v>27517280000</v>
          </cell>
          <cell r="H507">
            <v>7429666</v>
          </cell>
          <cell r="I507">
            <v>0</v>
          </cell>
          <cell r="J507">
            <v>14755000000</v>
          </cell>
          <cell r="K507">
            <v>14755000000</v>
          </cell>
          <cell r="M507">
            <v>1609281000</v>
          </cell>
          <cell r="O507">
            <v>1609281000</v>
          </cell>
          <cell r="P507">
            <v>0</v>
          </cell>
          <cell r="R507">
            <v>0</v>
          </cell>
          <cell r="S507">
            <v>503961000</v>
          </cell>
          <cell r="U507">
            <v>503961000</v>
          </cell>
          <cell r="V507">
            <v>31203000</v>
          </cell>
          <cell r="X507">
            <v>31203000</v>
          </cell>
          <cell r="AK507">
            <v>2887500</v>
          </cell>
          <cell r="AL507">
            <v>238200</v>
          </cell>
        </row>
        <row r="508">
          <cell r="B508">
            <v>44294</v>
          </cell>
          <cell r="C508">
            <v>28949165000</v>
          </cell>
          <cell r="G508">
            <v>28949165000</v>
          </cell>
          <cell r="H508">
            <v>7816275</v>
          </cell>
          <cell r="I508">
            <v>380108000</v>
          </cell>
          <cell r="J508">
            <v>21048000000</v>
          </cell>
          <cell r="K508">
            <v>21428108000</v>
          </cell>
          <cell r="M508">
            <v>3746409000</v>
          </cell>
          <cell r="O508">
            <v>3746409000</v>
          </cell>
          <cell r="P508">
            <v>5198000</v>
          </cell>
          <cell r="R508">
            <v>5198000</v>
          </cell>
          <cell r="S508">
            <v>545433000</v>
          </cell>
          <cell r="U508">
            <v>545433000</v>
          </cell>
          <cell r="V508">
            <v>4705000</v>
          </cell>
          <cell r="X508">
            <v>4705000</v>
          </cell>
          <cell r="AK508">
            <v>4294280</v>
          </cell>
          <cell r="AL508">
            <v>260370</v>
          </cell>
        </row>
        <row r="509">
          <cell r="C509">
            <v>164690955000</v>
          </cell>
          <cell r="D509">
            <v>0</v>
          </cell>
          <cell r="E509">
            <v>0</v>
          </cell>
          <cell r="F509">
            <v>0</v>
          </cell>
          <cell r="G509">
            <v>164690955000</v>
          </cell>
          <cell r="H509">
            <v>44466559</v>
          </cell>
          <cell r="I509">
            <v>1063263000</v>
          </cell>
          <cell r="J509">
            <v>87216180000</v>
          </cell>
          <cell r="K509">
            <v>88279443000</v>
          </cell>
          <cell r="L509">
            <v>0</v>
          </cell>
          <cell r="M509">
            <v>23555885000</v>
          </cell>
          <cell r="N509">
            <v>30763000000</v>
          </cell>
          <cell r="O509">
            <v>54318885000</v>
          </cell>
          <cell r="P509">
            <v>297582000</v>
          </cell>
          <cell r="Q509">
            <v>0</v>
          </cell>
          <cell r="R509">
            <v>297582000</v>
          </cell>
          <cell r="S509">
            <v>2578657000</v>
          </cell>
          <cell r="U509">
            <v>2578657000</v>
          </cell>
          <cell r="V509">
            <v>436588000</v>
          </cell>
          <cell r="W509">
            <v>3083000000</v>
          </cell>
          <cell r="X509">
            <v>3519588000</v>
          </cell>
          <cell r="AK509">
            <v>24807846</v>
          </cell>
          <cell r="AL509">
            <v>1658400</v>
          </cell>
        </row>
        <row r="510">
          <cell r="B510">
            <v>44295</v>
          </cell>
          <cell r="C510">
            <v>62241360000</v>
          </cell>
          <cell r="D510">
            <v>3798765000</v>
          </cell>
          <cell r="G510">
            <v>66040125000</v>
          </cell>
          <cell r="H510">
            <v>17830834</v>
          </cell>
          <cell r="I510">
            <v>2090000</v>
          </cell>
          <cell r="J510">
            <v>12608000000</v>
          </cell>
          <cell r="K510">
            <v>12610090000</v>
          </cell>
          <cell r="M510">
            <v>3619333000</v>
          </cell>
          <cell r="O510">
            <v>3619333000</v>
          </cell>
          <cell r="P510">
            <v>0</v>
          </cell>
          <cell r="R510">
            <v>0</v>
          </cell>
          <cell r="S510">
            <v>684490000</v>
          </cell>
          <cell r="U510">
            <v>684490000</v>
          </cell>
          <cell r="V510">
            <v>373799000</v>
          </cell>
          <cell r="X510">
            <v>373799000</v>
          </cell>
          <cell r="AK510">
            <v>2774849</v>
          </cell>
          <cell r="AL510">
            <v>300930</v>
          </cell>
        </row>
        <row r="511">
          <cell r="B511">
            <v>44298</v>
          </cell>
          <cell r="C511">
            <v>10126675000</v>
          </cell>
          <cell r="D511">
            <v>4592570000</v>
          </cell>
          <cell r="G511">
            <v>14719245000</v>
          </cell>
          <cell r="H511">
            <v>3974196</v>
          </cell>
          <cell r="I511">
            <v>11062887000</v>
          </cell>
          <cell r="J511">
            <v>18380200000</v>
          </cell>
          <cell r="K511">
            <v>29443087000</v>
          </cell>
          <cell r="M511">
            <v>2060083000</v>
          </cell>
          <cell r="O511">
            <v>2060083000</v>
          </cell>
          <cell r="P511">
            <v>3458000</v>
          </cell>
          <cell r="R511">
            <v>3458000</v>
          </cell>
          <cell r="S511">
            <v>556792000</v>
          </cell>
          <cell r="U511">
            <v>556792000</v>
          </cell>
          <cell r="V511">
            <v>1576325000</v>
          </cell>
          <cell r="X511">
            <v>1576325000</v>
          </cell>
          <cell r="AK511">
            <v>4956467</v>
          </cell>
          <cell r="AL511">
            <v>108150</v>
          </cell>
        </row>
        <row r="512">
          <cell r="B512">
            <v>44299</v>
          </cell>
          <cell r="C512">
            <v>17867485000</v>
          </cell>
          <cell r="D512">
            <v>3591925000</v>
          </cell>
          <cell r="G512">
            <v>21459410000</v>
          </cell>
          <cell r="H512">
            <v>5794041</v>
          </cell>
          <cell r="I512">
            <v>9654351000</v>
          </cell>
          <cell r="K512">
            <v>9654351000</v>
          </cell>
          <cell r="M512">
            <v>1625457000</v>
          </cell>
          <cell r="O512">
            <v>1625457000</v>
          </cell>
          <cell r="P512">
            <v>0</v>
          </cell>
          <cell r="R512">
            <v>0</v>
          </cell>
          <cell r="S512">
            <v>513242000</v>
          </cell>
          <cell r="U512">
            <v>513242000</v>
          </cell>
          <cell r="V512">
            <v>2611595000</v>
          </cell>
          <cell r="X512">
            <v>2611595000</v>
          </cell>
          <cell r="AK512">
            <v>1555702</v>
          </cell>
          <cell r="AL512">
            <v>208860</v>
          </cell>
        </row>
        <row r="513">
          <cell r="B513">
            <v>44300</v>
          </cell>
          <cell r="C513">
            <v>24943420000</v>
          </cell>
          <cell r="D513">
            <v>1484170000</v>
          </cell>
          <cell r="G513">
            <v>26427590000</v>
          </cell>
          <cell r="H513">
            <v>7135449</v>
          </cell>
          <cell r="I513">
            <v>14589334000</v>
          </cell>
          <cell r="K513">
            <v>14589334000</v>
          </cell>
          <cell r="M513">
            <v>4178000</v>
          </cell>
          <cell r="O513">
            <v>4178000</v>
          </cell>
          <cell r="P513">
            <v>0</v>
          </cell>
          <cell r="R513">
            <v>0</v>
          </cell>
          <cell r="S513">
            <v>578174000</v>
          </cell>
          <cell r="U513">
            <v>578174000</v>
          </cell>
          <cell r="V513">
            <v>4784000</v>
          </cell>
          <cell r="X513">
            <v>4784000</v>
          </cell>
          <cell r="AK513">
            <v>1639059</v>
          </cell>
          <cell r="AL513">
            <v>79110</v>
          </cell>
        </row>
        <row r="514">
          <cell r="B514">
            <v>44301</v>
          </cell>
          <cell r="C514">
            <v>28588255000</v>
          </cell>
          <cell r="D514">
            <v>5995830000</v>
          </cell>
          <cell r="G514">
            <v>34584085000</v>
          </cell>
          <cell r="H514">
            <v>9337703</v>
          </cell>
          <cell r="I514">
            <v>7969936000</v>
          </cell>
          <cell r="J514">
            <v>87465818000</v>
          </cell>
          <cell r="K514">
            <v>95435754000</v>
          </cell>
          <cell r="M514">
            <v>0</v>
          </cell>
          <cell r="P514">
            <v>0</v>
          </cell>
          <cell r="S514">
            <v>1058047000</v>
          </cell>
          <cell r="U514">
            <v>1058047000</v>
          </cell>
          <cell r="V514">
            <v>1603000</v>
          </cell>
          <cell r="X514">
            <v>1603000</v>
          </cell>
          <cell r="AK514">
            <v>16719043</v>
          </cell>
          <cell r="AL514">
            <v>169980</v>
          </cell>
        </row>
        <row r="515">
          <cell r="C515">
            <v>143767195000</v>
          </cell>
          <cell r="D515">
            <v>19463260000</v>
          </cell>
          <cell r="E515">
            <v>0</v>
          </cell>
          <cell r="F515">
            <v>0</v>
          </cell>
          <cell r="G515">
            <v>163230455000</v>
          </cell>
          <cell r="H515">
            <v>44072223</v>
          </cell>
          <cell r="I515">
            <v>43278598000</v>
          </cell>
          <cell r="J515">
            <v>118454018000</v>
          </cell>
          <cell r="K515">
            <v>161732616000</v>
          </cell>
          <cell r="L515">
            <v>0</v>
          </cell>
          <cell r="M515">
            <v>7309051000</v>
          </cell>
          <cell r="N515">
            <v>0</v>
          </cell>
          <cell r="O515">
            <v>7309051000</v>
          </cell>
          <cell r="P515">
            <v>3458000</v>
          </cell>
          <cell r="Q515">
            <v>0</v>
          </cell>
          <cell r="R515">
            <v>3458000</v>
          </cell>
          <cell r="S515">
            <v>3390745000</v>
          </cell>
          <cell r="U515">
            <v>3390745000</v>
          </cell>
          <cell r="V515">
            <v>4568106000</v>
          </cell>
          <cell r="W515">
            <v>0</v>
          </cell>
          <cell r="X515">
            <v>4568106000</v>
          </cell>
          <cell r="AK515">
            <v>27645119</v>
          </cell>
          <cell r="AL515">
            <v>867030</v>
          </cell>
        </row>
        <row r="516">
          <cell r="B516">
            <v>44302</v>
          </cell>
          <cell r="G516">
            <v>0</v>
          </cell>
          <cell r="H516">
            <v>0</v>
          </cell>
          <cell r="I516">
            <v>12659980000</v>
          </cell>
          <cell r="J516">
            <v>4288000000</v>
          </cell>
          <cell r="K516">
            <v>16947980000</v>
          </cell>
          <cell r="M516">
            <v>2098000</v>
          </cell>
          <cell r="O516">
            <v>2098000</v>
          </cell>
          <cell r="P516">
            <v>0</v>
          </cell>
          <cell r="R516">
            <v>0</v>
          </cell>
          <cell r="S516">
            <v>541634000</v>
          </cell>
          <cell r="U516">
            <v>541634000</v>
          </cell>
          <cell r="V516">
            <v>1512324000</v>
          </cell>
          <cell r="X516">
            <v>1512324000</v>
          </cell>
          <cell r="AK516">
            <v>2361172</v>
          </cell>
          <cell r="AL516">
            <v>153630</v>
          </cell>
        </row>
        <row r="517">
          <cell r="B517">
            <v>44305</v>
          </cell>
          <cell r="C517">
            <v>32376996000</v>
          </cell>
          <cell r="D517">
            <v>4016870000</v>
          </cell>
          <cell r="G517">
            <v>36393866000</v>
          </cell>
          <cell r="H517">
            <v>9826344</v>
          </cell>
          <cell r="I517">
            <v>12267693000</v>
          </cell>
          <cell r="J517">
            <v>12898000000</v>
          </cell>
          <cell r="K517">
            <v>25165693000</v>
          </cell>
          <cell r="M517">
            <v>5938954000</v>
          </cell>
          <cell r="O517">
            <v>5938954000</v>
          </cell>
          <cell r="P517">
            <v>119985000</v>
          </cell>
          <cell r="R517">
            <v>119985000</v>
          </cell>
          <cell r="S517">
            <v>660448000</v>
          </cell>
          <cell r="U517">
            <v>660448000</v>
          </cell>
          <cell r="V517">
            <v>27461000</v>
          </cell>
          <cell r="W517">
            <v>2424000000</v>
          </cell>
          <cell r="X517">
            <v>2451461000</v>
          </cell>
          <cell r="AK517">
            <v>4811530</v>
          </cell>
          <cell r="AL517">
            <v>308010</v>
          </cell>
        </row>
        <row r="518">
          <cell r="B518">
            <v>44306</v>
          </cell>
          <cell r="C518">
            <v>81583445000</v>
          </cell>
          <cell r="D518">
            <v>13757080000</v>
          </cell>
          <cell r="G518">
            <v>95340525000</v>
          </cell>
          <cell r="H518">
            <v>25741942</v>
          </cell>
          <cell r="I518">
            <v>12790767000</v>
          </cell>
          <cell r="J518">
            <v>8730000000</v>
          </cell>
          <cell r="K518">
            <v>21520767000</v>
          </cell>
          <cell r="M518">
            <v>4852018000</v>
          </cell>
          <cell r="N518">
            <v>6372000000</v>
          </cell>
          <cell r="O518">
            <v>11224018000</v>
          </cell>
          <cell r="P518">
            <v>0</v>
          </cell>
          <cell r="R518">
            <v>0</v>
          </cell>
          <cell r="S518">
            <v>30552000</v>
          </cell>
          <cell r="U518">
            <v>30552000</v>
          </cell>
          <cell r="V518">
            <v>3308000</v>
          </cell>
          <cell r="X518">
            <v>3308000</v>
          </cell>
          <cell r="AK518">
            <v>4627438</v>
          </cell>
          <cell r="AL518">
            <v>269520</v>
          </cell>
        </row>
        <row r="519">
          <cell r="B519">
            <v>44308</v>
          </cell>
          <cell r="C519">
            <v>9133805000</v>
          </cell>
          <cell r="E519">
            <v>1003170000</v>
          </cell>
          <cell r="G519">
            <v>10136975000</v>
          </cell>
          <cell r="H519">
            <v>2736983</v>
          </cell>
          <cell r="I519">
            <v>645772000</v>
          </cell>
          <cell r="J519">
            <v>53389500000</v>
          </cell>
          <cell r="K519">
            <v>54035272000</v>
          </cell>
          <cell r="M519">
            <v>0</v>
          </cell>
          <cell r="O519">
            <v>0</v>
          </cell>
          <cell r="P519">
            <v>3425000</v>
          </cell>
          <cell r="R519">
            <v>3425000</v>
          </cell>
          <cell r="S519">
            <v>549537000</v>
          </cell>
          <cell r="U519">
            <v>549537000</v>
          </cell>
          <cell r="V519">
            <v>8171000</v>
          </cell>
          <cell r="X519">
            <v>8171000</v>
          </cell>
          <cell r="AK519">
            <v>9740456</v>
          </cell>
          <cell r="AL519">
            <v>395402</v>
          </cell>
        </row>
        <row r="520">
          <cell r="C520">
            <v>123094246000</v>
          </cell>
          <cell r="D520">
            <v>17773950000</v>
          </cell>
          <cell r="E520">
            <v>1003170000</v>
          </cell>
          <cell r="F520">
            <v>0</v>
          </cell>
          <cell r="G520">
            <v>141871366000</v>
          </cell>
          <cell r="H520">
            <v>38305269</v>
          </cell>
          <cell r="I520">
            <v>38364212000</v>
          </cell>
          <cell r="J520">
            <v>79305500000</v>
          </cell>
          <cell r="K520">
            <v>117669712000</v>
          </cell>
          <cell r="L520">
            <v>0</v>
          </cell>
          <cell r="M520">
            <v>10793070000</v>
          </cell>
          <cell r="N520">
            <v>6372000000</v>
          </cell>
          <cell r="O520">
            <v>17165070000</v>
          </cell>
          <cell r="P520">
            <v>123410000</v>
          </cell>
          <cell r="Q520">
            <v>0</v>
          </cell>
          <cell r="R520">
            <v>123410000</v>
          </cell>
          <cell r="S520">
            <v>1782171000</v>
          </cell>
          <cell r="T520">
            <v>0</v>
          </cell>
          <cell r="U520">
            <v>1782171000</v>
          </cell>
          <cell r="V520">
            <v>1551264000</v>
          </cell>
          <cell r="W520">
            <v>2424000000</v>
          </cell>
          <cell r="X520">
            <v>3975264000</v>
          </cell>
          <cell r="AK520">
            <v>21540596</v>
          </cell>
          <cell r="AL520">
            <v>1126562</v>
          </cell>
        </row>
        <row r="521">
          <cell r="B521">
            <v>44309</v>
          </cell>
          <cell r="C521">
            <v>26180135000</v>
          </cell>
          <cell r="E521">
            <v>494960000</v>
          </cell>
          <cell r="F521">
            <v>353175000</v>
          </cell>
          <cell r="G521">
            <v>27028270000</v>
          </cell>
          <cell r="H521">
            <v>7297633</v>
          </cell>
          <cell r="I521">
            <v>3763670000</v>
          </cell>
          <cell r="J521">
            <v>18425035000</v>
          </cell>
          <cell r="K521">
            <v>22188705000</v>
          </cell>
          <cell r="M521">
            <v>2596896000</v>
          </cell>
          <cell r="O521">
            <v>2596896000</v>
          </cell>
          <cell r="P521">
            <v>118515000</v>
          </cell>
          <cell r="R521">
            <v>118515000</v>
          </cell>
          <cell r="S521">
            <v>566842000</v>
          </cell>
          <cell r="U521">
            <v>566842000</v>
          </cell>
          <cell r="V521">
            <v>49718000</v>
          </cell>
          <cell r="W521">
            <v>3494758000</v>
          </cell>
          <cell r="X521">
            <v>3544476000</v>
          </cell>
          <cell r="AK521">
            <v>4711892</v>
          </cell>
          <cell r="AL521">
            <v>365010</v>
          </cell>
        </row>
        <row r="522">
          <cell r="B522">
            <v>44312</v>
          </cell>
          <cell r="C522">
            <v>65504470000</v>
          </cell>
          <cell r="D522">
            <v>3884465000</v>
          </cell>
          <cell r="G522">
            <v>69388935000</v>
          </cell>
          <cell r="H522">
            <v>18735012</v>
          </cell>
          <cell r="I522">
            <v>13278616000</v>
          </cell>
          <cell r="J522">
            <v>0</v>
          </cell>
          <cell r="K522">
            <v>13278616000</v>
          </cell>
          <cell r="M522">
            <v>7710277000</v>
          </cell>
          <cell r="N522">
            <v>0</v>
          </cell>
          <cell r="O522">
            <v>7710277000</v>
          </cell>
          <cell r="P522">
            <v>1779000</v>
          </cell>
          <cell r="Q522">
            <v>0</v>
          </cell>
          <cell r="R522">
            <v>1779000</v>
          </cell>
          <cell r="S522">
            <v>675010000</v>
          </cell>
          <cell r="T522">
            <v>0</v>
          </cell>
          <cell r="U522">
            <v>675010000</v>
          </cell>
          <cell r="V522">
            <v>17490000</v>
          </cell>
          <cell r="W522">
            <v>0</v>
          </cell>
          <cell r="X522">
            <v>17490000</v>
          </cell>
          <cell r="AK522">
            <v>2341783</v>
          </cell>
          <cell r="AL522">
            <v>499080</v>
          </cell>
        </row>
        <row r="523">
          <cell r="B523">
            <v>44313</v>
          </cell>
          <cell r="C523">
            <v>15593815000</v>
          </cell>
          <cell r="E523">
            <v>893070000</v>
          </cell>
          <cell r="G523">
            <v>16486885000</v>
          </cell>
          <cell r="H523">
            <v>4451459</v>
          </cell>
          <cell r="I523">
            <v>1656889000</v>
          </cell>
          <cell r="J523">
            <v>34227000000</v>
          </cell>
          <cell r="K523">
            <v>35883889000</v>
          </cell>
          <cell r="M523">
            <v>9795127000</v>
          </cell>
          <cell r="O523">
            <v>9795127000</v>
          </cell>
          <cell r="P523">
            <v>0</v>
          </cell>
          <cell r="R523">
            <v>0</v>
          </cell>
          <cell r="S523">
            <v>648264000</v>
          </cell>
          <cell r="U523">
            <v>648264000</v>
          </cell>
          <cell r="V523">
            <v>363176000</v>
          </cell>
          <cell r="X523">
            <v>363176000</v>
          </cell>
          <cell r="AK523">
            <v>7506913</v>
          </cell>
          <cell r="AL523">
            <v>277260</v>
          </cell>
        </row>
        <row r="524">
          <cell r="B524">
            <v>44314</v>
          </cell>
          <cell r="C524">
            <v>20729550000</v>
          </cell>
          <cell r="D524">
            <v>3317840000</v>
          </cell>
          <cell r="G524">
            <v>24047390000</v>
          </cell>
          <cell r="H524">
            <v>6492795</v>
          </cell>
          <cell r="I524">
            <v>2214996000</v>
          </cell>
          <cell r="J524">
            <v>25806000000</v>
          </cell>
          <cell r="K524">
            <v>28020996000</v>
          </cell>
          <cell r="M524">
            <v>2267816000</v>
          </cell>
          <cell r="O524">
            <v>2267816000</v>
          </cell>
          <cell r="P524">
            <v>0</v>
          </cell>
          <cell r="R524">
            <v>0</v>
          </cell>
          <cell r="S524">
            <v>550373000</v>
          </cell>
          <cell r="U524">
            <v>550373000</v>
          </cell>
          <cell r="V524">
            <v>1464341000</v>
          </cell>
          <cell r="W524">
            <v>2091700000</v>
          </cell>
          <cell r="X524">
            <v>3556041000</v>
          </cell>
          <cell r="AK524">
            <v>5723319</v>
          </cell>
          <cell r="AL524">
            <v>213810</v>
          </cell>
        </row>
        <row r="525">
          <cell r="B525">
            <v>44315</v>
          </cell>
          <cell r="C525">
            <v>60823380000</v>
          </cell>
          <cell r="D525">
            <v>3851795000</v>
          </cell>
          <cell r="G525">
            <v>64675175000</v>
          </cell>
          <cell r="H525">
            <v>17462297</v>
          </cell>
          <cell r="I525">
            <v>757395000</v>
          </cell>
          <cell r="J525">
            <v>19602000000</v>
          </cell>
          <cell r="K525">
            <v>20359395000</v>
          </cell>
          <cell r="M525">
            <v>1110652000</v>
          </cell>
          <cell r="O525">
            <v>1110652000</v>
          </cell>
          <cell r="P525">
            <v>1278455000</v>
          </cell>
          <cell r="R525">
            <v>1278455000</v>
          </cell>
          <cell r="S525">
            <v>643530000</v>
          </cell>
          <cell r="U525">
            <v>643530000</v>
          </cell>
          <cell r="V525">
            <v>371414000</v>
          </cell>
          <cell r="X525">
            <v>371414000</v>
          </cell>
          <cell r="AK525">
            <v>3977796</v>
          </cell>
          <cell r="AL525">
            <v>285000</v>
          </cell>
        </row>
        <row r="526">
          <cell r="C526">
            <v>188831350000</v>
          </cell>
          <cell r="D526">
            <v>11054100000</v>
          </cell>
          <cell r="E526">
            <v>1388030000</v>
          </cell>
          <cell r="F526">
            <v>353175000</v>
          </cell>
          <cell r="G526">
            <v>201626655000</v>
          </cell>
          <cell r="H526">
            <v>29102803</v>
          </cell>
          <cell r="I526">
            <v>21671566000</v>
          </cell>
          <cell r="J526">
            <v>98060035000</v>
          </cell>
          <cell r="K526">
            <v>119731601000</v>
          </cell>
          <cell r="L526">
            <v>0</v>
          </cell>
          <cell r="M526">
            <v>23480768000</v>
          </cell>
          <cell r="N526">
            <v>0</v>
          </cell>
          <cell r="O526">
            <v>23480768000</v>
          </cell>
          <cell r="P526">
            <v>1398749000</v>
          </cell>
          <cell r="Q526">
            <v>0</v>
          </cell>
          <cell r="R526">
            <v>1398749000</v>
          </cell>
          <cell r="S526">
            <v>3084019000</v>
          </cell>
          <cell r="T526">
            <v>0</v>
          </cell>
          <cell r="U526">
            <v>3084019000</v>
          </cell>
          <cell r="V526">
            <v>2266139000</v>
          </cell>
          <cell r="W526">
            <v>5586458000</v>
          </cell>
          <cell r="X526">
            <v>7852597000</v>
          </cell>
          <cell r="AK526">
            <v>24261703</v>
          </cell>
          <cell r="AL526">
            <v>1640160</v>
          </cell>
        </row>
        <row r="527">
          <cell r="B527">
            <v>44320</v>
          </cell>
          <cell r="C527">
            <v>58818105000</v>
          </cell>
          <cell r="D527">
            <v>5252970000</v>
          </cell>
          <cell r="G527">
            <v>64071075000</v>
          </cell>
          <cell r="H527">
            <v>17299190</v>
          </cell>
          <cell r="I527">
            <v>9946133000</v>
          </cell>
          <cell r="J527">
            <v>3293250000</v>
          </cell>
          <cell r="K527">
            <v>13239383000</v>
          </cell>
          <cell r="M527">
            <v>1269785000</v>
          </cell>
          <cell r="O527">
            <v>1269785000</v>
          </cell>
          <cell r="P527">
            <v>415890000</v>
          </cell>
          <cell r="R527">
            <v>415890000</v>
          </cell>
          <cell r="S527">
            <v>576904000</v>
          </cell>
          <cell r="U527">
            <v>576904000</v>
          </cell>
          <cell r="V527">
            <v>9794000</v>
          </cell>
          <cell r="X527">
            <v>9794000</v>
          </cell>
          <cell r="AK527">
            <v>1912384</v>
          </cell>
          <cell r="AL527">
            <v>170970</v>
          </cell>
        </row>
        <row r="528">
          <cell r="B528">
            <v>44321</v>
          </cell>
          <cell r="C528">
            <v>42052045000</v>
          </cell>
          <cell r="D528">
            <v>4139065000</v>
          </cell>
          <cell r="G528">
            <v>46191110000</v>
          </cell>
          <cell r="H528">
            <v>12471600</v>
          </cell>
          <cell r="I528">
            <v>14598181000</v>
          </cell>
          <cell r="K528">
            <v>14598181000</v>
          </cell>
          <cell r="M528">
            <v>277916000</v>
          </cell>
          <cell r="O528">
            <v>277916000</v>
          </cell>
          <cell r="P528">
            <v>101166000</v>
          </cell>
          <cell r="R528">
            <v>101166000</v>
          </cell>
          <cell r="S528">
            <v>755485000</v>
          </cell>
          <cell r="U528">
            <v>755485000</v>
          </cell>
          <cell r="V528">
            <v>677054000</v>
          </cell>
          <cell r="X528">
            <v>677054000</v>
          </cell>
          <cell r="AK528">
            <v>1772259</v>
          </cell>
          <cell r="AL528">
            <v>250470</v>
          </cell>
        </row>
        <row r="529">
          <cell r="B529">
            <v>44322</v>
          </cell>
          <cell r="C529">
            <v>46873210000</v>
          </cell>
          <cell r="D529">
            <v>4624875000</v>
          </cell>
          <cell r="G529">
            <v>51498085000</v>
          </cell>
          <cell r="H529">
            <v>13904483</v>
          </cell>
          <cell r="I529">
            <v>5997671000</v>
          </cell>
          <cell r="J529">
            <v>103310000000</v>
          </cell>
          <cell r="K529">
            <v>109307671000</v>
          </cell>
          <cell r="M529">
            <v>1422536000</v>
          </cell>
          <cell r="O529">
            <v>1422536000</v>
          </cell>
          <cell r="P529">
            <v>1391161000</v>
          </cell>
          <cell r="R529">
            <v>1391161000</v>
          </cell>
          <cell r="S529">
            <v>362119000</v>
          </cell>
          <cell r="U529">
            <v>362119000</v>
          </cell>
          <cell r="V529">
            <v>72022000</v>
          </cell>
          <cell r="X529">
            <v>72022000</v>
          </cell>
          <cell r="AK529">
            <v>19594315</v>
          </cell>
          <cell r="AL529">
            <v>251430</v>
          </cell>
        </row>
        <row r="530">
          <cell r="C530">
            <v>147743360000</v>
          </cell>
          <cell r="D530">
            <v>14016910000</v>
          </cell>
          <cell r="E530">
            <v>0</v>
          </cell>
          <cell r="F530">
            <v>0</v>
          </cell>
          <cell r="G530">
            <v>161760270000</v>
          </cell>
          <cell r="H530">
            <v>43675273</v>
          </cell>
          <cell r="I530">
            <v>30541985000</v>
          </cell>
          <cell r="J530">
            <v>106603250000</v>
          </cell>
          <cell r="K530">
            <v>137145235000</v>
          </cell>
          <cell r="L530">
            <v>0</v>
          </cell>
          <cell r="M530">
            <v>2970237000</v>
          </cell>
          <cell r="N530">
            <v>0</v>
          </cell>
          <cell r="O530">
            <v>2970237000</v>
          </cell>
          <cell r="P530">
            <v>1908217000</v>
          </cell>
          <cell r="Q530">
            <v>0</v>
          </cell>
          <cell r="R530">
            <v>1908217000</v>
          </cell>
          <cell r="S530">
            <v>1694508000</v>
          </cell>
          <cell r="T530">
            <v>0</v>
          </cell>
          <cell r="U530">
            <v>1694508000</v>
          </cell>
          <cell r="V530">
            <v>758870000</v>
          </cell>
          <cell r="W530">
            <v>0</v>
          </cell>
          <cell r="X530">
            <v>758870000</v>
          </cell>
          <cell r="AK530">
            <v>23278957</v>
          </cell>
          <cell r="AL530">
            <v>672870</v>
          </cell>
        </row>
        <row r="531">
          <cell r="B531">
            <v>44323</v>
          </cell>
          <cell r="C531">
            <v>42736726000</v>
          </cell>
          <cell r="G531">
            <v>42736726000</v>
          </cell>
          <cell r="H531">
            <v>11538916</v>
          </cell>
          <cell r="I531">
            <v>4523768000</v>
          </cell>
          <cell r="J531">
            <v>13436800000</v>
          </cell>
          <cell r="K531">
            <v>17960568000</v>
          </cell>
          <cell r="M531">
            <v>851193000</v>
          </cell>
          <cell r="O531">
            <v>851193000</v>
          </cell>
          <cell r="P531">
            <v>1067254000</v>
          </cell>
          <cell r="Q531">
            <v>1836000000</v>
          </cell>
          <cell r="R531">
            <v>2903254000</v>
          </cell>
          <cell r="S531">
            <v>824505000</v>
          </cell>
          <cell r="U531">
            <v>824505000</v>
          </cell>
          <cell r="V531">
            <v>3351000</v>
          </cell>
          <cell r="X531">
            <v>3351000</v>
          </cell>
          <cell r="AK531">
            <v>3534272</v>
          </cell>
          <cell r="AL531">
            <v>268950</v>
          </cell>
        </row>
        <row r="532">
          <cell r="B532">
            <v>44326</v>
          </cell>
          <cell r="C532">
            <v>19100350000</v>
          </cell>
          <cell r="D532">
            <v>4919895000</v>
          </cell>
          <cell r="G532">
            <v>24020245000</v>
          </cell>
          <cell r="H532">
            <v>6485466</v>
          </cell>
          <cell r="I532">
            <v>5559002000</v>
          </cell>
          <cell r="J532">
            <v>9088390000</v>
          </cell>
          <cell r="K532">
            <v>14647392000</v>
          </cell>
          <cell r="M532">
            <v>26919000</v>
          </cell>
          <cell r="N532">
            <v>13296000000</v>
          </cell>
          <cell r="O532">
            <v>13322919000</v>
          </cell>
          <cell r="P532">
            <v>102993000</v>
          </cell>
          <cell r="Q532">
            <v>3702000000</v>
          </cell>
          <cell r="R532">
            <v>3804993000</v>
          </cell>
          <cell r="S532">
            <v>550016000</v>
          </cell>
          <cell r="U532">
            <v>550016000</v>
          </cell>
          <cell r="V532">
            <v>10034000</v>
          </cell>
          <cell r="X532">
            <v>10034000</v>
          </cell>
          <cell r="AK532">
            <v>5370438</v>
          </cell>
          <cell r="AL532">
            <v>231510</v>
          </cell>
        </row>
        <row r="533">
          <cell r="B533">
            <v>44327</v>
          </cell>
          <cell r="C533">
            <v>47266965000</v>
          </cell>
          <cell r="D533">
            <v>9556430000</v>
          </cell>
          <cell r="G533">
            <v>56823395000</v>
          </cell>
          <cell r="H533">
            <v>15342317</v>
          </cell>
          <cell r="I533">
            <v>14423946000</v>
          </cell>
          <cell r="J533">
            <v>26066500000</v>
          </cell>
          <cell r="K533">
            <v>40490446000</v>
          </cell>
          <cell r="M533">
            <v>2207161000</v>
          </cell>
          <cell r="O533">
            <v>2207161000</v>
          </cell>
          <cell r="P533">
            <v>11429000</v>
          </cell>
          <cell r="R533">
            <v>11429000</v>
          </cell>
          <cell r="S533">
            <v>563927000</v>
          </cell>
          <cell r="U533">
            <v>563927000</v>
          </cell>
          <cell r="V533">
            <v>8547000</v>
          </cell>
          <cell r="X533">
            <v>8547000</v>
          </cell>
          <cell r="AK533">
            <v>6551191</v>
          </cell>
          <cell r="AL533">
            <v>473340</v>
          </cell>
        </row>
        <row r="534">
          <cell r="B534">
            <v>44328</v>
          </cell>
          <cell r="C534">
            <v>48184325000</v>
          </cell>
          <cell r="D534">
            <v>1652800000</v>
          </cell>
          <cell r="E534">
            <v>2662915000</v>
          </cell>
          <cell r="G534">
            <v>52500040000</v>
          </cell>
          <cell r="H534">
            <v>14175011</v>
          </cell>
          <cell r="I534">
            <v>6130730000</v>
          </cell>
          <cell r="J534">
            <v>4553000000</v>
          </cell>
          <cell r="K534">
            <v>10683730000</v>
          </cell>
          <cell r="M534">
            <v>166480000</v>
          </cell>
          <cell r="O534">
            <v>166480000</v>
          </cell>
          <cell r="P534">
            <v>9447000</v>
          </cell>
          <cell r="Q534">
            <v>9417500000</v>
          </cell>
          <cell r="R534">
            <v>9426947000</v>
          </cell>
          <cell r="S534">
            <v>619359000</v>
          </cell>
          <cell r="U534">
            <v>619359000</v>
          </cell>
          <cell r="V534">
            <v>1766316000</v>
          </cell>
          <cell r="W534">
            <v>6795600000</v>
          </cell>
          <cell r="X534">
            <v>8561916000</v>
          </cell>
          <cell r="AK534">
            <v>4676670</v>
          </cell>
          <cell r="AL534">
            <v>361860</v>
          </cell>
        </row>
        <row r="535">
          <cell r="B535">
            <v>44329</v>
          </cell>
          <cell r="C535">
            <v>26173805000</v>
          </cell>
          <cell r="D535">
            <v>4838155000</v>
          </cell>
          <cell r="E535">
            <v>1012830000</v>
          </cell>
          <cell r="G535">
            <v>32024790000</v>
          </cell>
          <cell r="H535">
            <v>8646693</v>
          </cell>
          <cell r="I535">
            <v>2670005000</v>
          </cell>
          <cell r="J535">
            <v>23139000000</v>
          </cell>
          <cell r="K535">
            <v>25809005000</v>
          </cell>
          <cell r="M535">
            <v>1067466000</v>
          </cell>
          <cell r="O535">
            <v>1067466000</v>
          </cell>
          <cell r="P535">
            <v>21427000</v>
          </cell>
          <cell r="R535">
            <v>21427000</v>
          </cell>
          <cell r="S535">
            <v>681376000</v>
          </cell>
          <cell r="U535">
            <v>681376000</v>
          </cell>
          <cell r="V535">
            <v>1714000</v>
          </cell>
          <cell r="X535">
            <v>1714000</v>
          </cell>
          <cell r="AK535">
            <v>4644755</v>
          </cell>
          <cell r="AL535">
            <v>107340</v>
          </cell>
        </row>
        <row r="536">
          <cell r="C536">
            <v>183462171000</v>
          </cell>
          <cell r="D536">
            <v>20967280000</v>
          </cell>
          <cell r="E536">
            <v>3675745000</v>
          </cell>
          <cell r="F536">
            <v>0</v>
          </cell>
          <cell r="G536">
            <v>208105196000</v>
          </cell>
          <cell r="H536">
            <v>56188403</v>
          </cell>
          <cell r="I536">
            <v>33307451000</v>
          </cell>
          <cell r="J536">
            <v>76283690000</v>
          </cell>
          <cell r="K536">
            <v>109591141000</v>
          </cell>
          <cell r="L536">
            <v>0</v>
          </cell>
          <cell r="M536">
            <v>4319219000</v>
          </cell>
          <cell r="N536">
            <v>13296000000</v>
          </cell>
          <cell r="O536">
            <v>17615219000</v>
          </cell>
          <cell r="P536">
            <v>1212550000</v>
          </cell>
          <cell r="Q536">
            <v>14955500000</v>
          </cell>
          <cell r="R536">
            <v>16168050000</v>
          </cell>
          <cell r="S536">
            <v>3239183000</v>
          </cell>
          <cell r="T536">
            <v>0</v>
          </cell>
          <cell r="U536">
            <v>3239183000</v>
          </cell>
          <cell r="V536">
            <v>1789962000</v>
          </cell>
          <cell r="W536">
            <v>6795600000</v>
          </cell>
          <cell r="X536">
            <v>8585562000</v>
          </cell>
          <cell r="AK536">
            <v>24777326</v>
          </cell>
          <cell r="AL536">
            <v>1443000</v>
          </cell>
        </row>
        <row r="537">
          <cell r="B537">
            <v>44330</v>
          </cell>
          <cell r="C537">
            <v>15898790000</v>
          </cell>
          <cell r="E537">
            <v>334100000</v>
          </cell>
          <cell r="G537">
            <v>16232890000</v>
          </cell>
          <cell r="H537">
            <v>4382880</v>
          </cell>
          <cell r="I537">
            <v>17658723000</v>
          </cell>
          <cell r="J537">
            <v>4636000000</v>
          </cell>
          <cell r="K537">
            <v>22294723000</v>
          </cell>
          <cell r="M537">
            <v>911700000</v>
          </cell>
          <cell r="O537">
            <v>911700000</v>
          </cell>
          <cell r="P537">
            <v>56728000</v>
          </cell>
          <cell r="R537">
            <v>56728000</v>
          </cell>
          <cell r="S537">
            <v>733947000</v>
          </cell>
          <cell r="U537">
            <v>733947000</v>
          </cell>
          <cell r="V537">
            <v>863439000</v>
          </cell>
          <cell r="X537">
            <v>863439000</v>
          </cell>
          <cell r="AK537">
            <v>3018730</v>
          </cell>
          <cell r="AL537">
            <v>116850</v>
          </cell>
        </row>
        <row r="538">
          <cell r="B538">
            <v>44333</v>
          </cell>
          <cell r="C538">
            <v>44787420000</v>
          </cell>
          <cell r="D538">
            <v>5964025000</v>
          </cell>
          <cell r="G538">
            <v>50751445000</v>
          </cell>
          <cell r="H538">
            <v>13702890</v>
          </cell>
          <cell r="I538">
            <v>216983000</v>
          </cell>
          <cell r="J538">
            <v>6915000000</v>
          </cell>
          <cell r="K538">
            <v>7131983000</v>
          </cell>
          <cell r="M538">
            <v>2810402000</v>
          </cell>
          <cell r="O538">
            <v>2810402000</v>
          </cell>
          <cell r="P538">
            <v>1014301000</v>
          </cell>
          <cell r="R538">
            <v>1014301000</v>
          </cell>
          <cell r="S538">
            <v>601180000</v>
          </cell>
          <cell r="U538">
            <v>601180000</v>
          </cell>
          <cell r="V538">
            <v>1071999000</v>
          </cell>
          <cell r="X538">
            <v>1071999000</v>
          </cell>
          <cell r="AK538">
            <v>1861905</v>
          </cell>
          <cell r="AL538">
            <v>304740</v>
          </cell>
        </row>
        <row r="539">
          <cell r="B539">
            <v>44334</v>
          </cell>
          <cell r="C539">
            <v>24773880000</v>
          </cell>
          <cell r="D539">
            <v>6685675000</v>
          </cell>
          <cell r="E539">
            <v>2705925000</v>
          </cell>
          <cell r="F539">
            <v>391375000</v>
          </cell>
          <cell r="G539">
            <v>34556855000</v>
          </cell>
          <cell r="H539">
            <v>9330351</v>
          </cell>
          <cell r="I539">
            <v>1428249000</v>
          </cell>
          <cell r="K539">
            <v>1428249000</v>
          </cell>
          <cell r="M539">
            <v>4037893000</v>
          </cell>
          <cell r="O539">
            <v>4037893000</v>
          </cell>
          <cell r="P539">
            <v>1137389000</v>
          </cell>
          <cell r="R539">
            <v>1137389000</v>
          </cell>
          <cell r="S539">
            <v>573200000</v>
          </cell>
          <cell r="U539">
            <v>573200000</v>
          </cell>
          <cell r="V539">
            <v>148796000</v>
          </cell>
          <cell r="X539">
            <v>148796000</v>
          </cell>
          <cell r="AK539">
            <v>791157</v>
          </cell>
          <cell r="AL539">
            <v>216540</v>
          </cell>
        </row>
        <row r="540">
          <cell r="B540">
            <v>44335</v>
          </cell>
          <cell r="C540">
            <v>18366585000</v>
          </cell>
          <cell r="G540">
            <v>18366585000</v>
          </cell>
          <cell r="H540">
            <v>4958978</v>
          </cell>
          <cell r="I540">
            <v>2332647000</v>
          </cell>
          <cell r="K540">
            <v>2332647000</v>
          </cell>
          <cell r="M540">
            <v>1115577000</v>
          </cell>
          <cell r="O540">
            <v>1115577000</v>
          </cell>
          <cell r="P540">
            <v>1375668000</v>
          </cell>
          <cell r="R540">
            <v>1375668000</v>
          </cell>
          <cell r="S540">
            <v>710041000</v>
          </cell>
          <cell r="U540">
            <v>710041000</v>
          </cell>
          <cell r="V540">
            <v>17316000</v>
          </cell>
          <cell r="X540">
            <v>17316000</v>
          </cell>
          <cell r="AK540">
            <v>599535</v>
          </cell>
          <cell r="AL540">
            <v>186030</v>
          </cell>
        </row>
        <row r="541">
          <cell r="B541">
            <v>44336</v>
          </cell>
          <cell r="C541">
            <v>21996965000</v>
          </cell>
          <cell r="D541">
            <v>8499120000</v>
          </cell>
          <cell r="G541">
            <v>30496085000</v>
          </cell>
          <cell r="H541">
            <v>8233943</v>
          </cell>
          <cell r="I541">
            <v>202790000</v>
          </cell>
          <cell r="J541">
            <v>18780000000</v>
          </cell>
          <cell r="K541">
            <v>18982790000</v>
          </cell>
          <cell r="M541">
            <v>8383692000</v>
          </cell>
          <cell r="N541">
            <v>42253200000</v>
          </cell>
          <cell r="O541">
            <v>50636892000</v>
          </cell>
          <cell r="P541">
            <v>10135612000</v>
          </cell>
          <cell r="R541">
            <v>10135612000</v>
          </cell>
          <cell r="S541">
            <v>595101000</v>
          </cell>
          <cell r="U541">
            <v>595101000</v>
          </cell>
          <cell r="V541">
            <v>543711000</v>
          </cell>
          <cell r="X541">
            <v>543711000</v>
          </cell>
          <cell r="AK541">
            <v>13130954</v>
          </cell>
          <cell r="AL541">
            <v>367770</v>
          </cell>
        </row>
        <row r="542">
          <cell r="C542">
            <v>125823640000</v>
          </cell>
          <cell r="D542">
            <v>21148820000</v>
          </cell>
          <cell r="E542">
            <v>3040025000</v>
          </cell>
          <cell r="F542">
            <v>391375000</v>
          </cell>
          <cell r="G542">
            <v>150403860000</v>
          </cell>
          <cell r="H542">
            <v>40609042</v>
          </cell>
          <cell r="I542">
            <v>21839392000</v>
          </cell>
          <cell r="J542">
            <v>30331000000</v>
          </cell>
          <cell r="K542">
            <v>52170392000</v>
          </cell>
          <cell r="L542">
            <v>0</v>
          </cell>
          <cell r="M542">
            <v>17259264000</v>
          </cell>
          <cell r="N542">
            <v>42253200000</v>
          </cell>
          <cell r="O542">
            <v>59512464000</v>
          </cell>
          <cell r="P542">
            <v>13719698000</v>
          </cell>
          <cell r="Q542">
            <v>0</v>
          </cell>
          <cell r="R542">
            <v>13719698000</v>
          </cell>
          <cell r="S542">
            <v>3213469000</v>
          </cell>
          <cell r="T542">
            <v>0</v>
          </cell>
          <cell r="U542">
            <v>3213469000</v>
          </cell>
          <cell r="V542">
            <v>2645261000</v>
          </cell>
          <cell r="W542">
            <v>0</v>
          </cell>
          <cell r="X542">
            <v>2645261000</v>
          </cell>
          <cell r="AK542">
            <v>19402281</v>
          </cell>
          <cell r="AL542">
            <v>1191930</v>
          </cell>
        </row>
        <row r="543">
          <cell r="B543">
            <v>44337</v>
          </cell>
          <cell r="C543">
            <v>35524904000</v>
          </cell>
          <cell r="G543">
            <v>35524904000</v>
          </cell>
          <cell r="H543">
            <v>9591724</v>
          </cell>
          <cell r="I543">
            <v>2905359000</v>
          </cell>
          <cell r="J543">
            <v>9583000000</v>
          </cell>
          <cell r="K543">
            <v>12488359000</v>
          </cell>
          <cell r="M543">
            <v>1890930000</v>
          </cell>
          <cell r="O543">
            <v>1890930000</v>
          </cell>
          <cell r="P543">
            <v>966250000</v>
          </cell>
          <cell r="R543">
            <v>966250000</v>
          </cell>
          <cell r="S543">
            <v>629052000</v>
          </cell>
          <cell r="U543">
            <v>629052000</v>
          </cell>
          <cell r="V543">
            <v>908505000</v>
          </cell>
          <cell r="X543">
            <v>908505000</v>
          </cell>
          <cell r="AK543">
            <v>2513350</v>
          </cell>
          <cell r="AL543">
            <v>155610</v>
          </cell>
        </row>
        <row r="544">
          <cell r="B544">
            <v>44340</v>
          </cell>
          <cell r="C544">
            <v>16007880000</v>
          </cell>
          <cell r="G544">
            <v>16007880000</v>
          </cell>
          <cell r="H544">
            <v>4322128</v>
          </cell>
          <cell r="I544">
            <v>2599161000</v>
          </cell>
          <cell r="J544">
            <v>3587250000</v>
          </cell>
          <cell r="K544">
            <v>6186411000</v>
          </cell>
          <cell r="M544">
            <v>758535000</v>
          </cell>
          <cell r="O544">
            <v>758535000</v>
          </cell>
          <cell r="P544">
            <v>1525032000</v>
          </cell>
          <cell r="R544">
            <v>1525032000</v>
          </cell>
          <cell r="S544">
            <v>771230000</v>
          </cell>
          <cell r="U544">
            <v>771230000</v>
          </cell>
          <cell r="V544">
            <v>277368000</v>
          </cell>
          <cell r="W544">
            <v>721740000</v>
          </cell>
          <cell r="X544">
            <v>999108000</v>
          </cell>
          <cell r="AK544">
            <v>1416201</v>
          </cell>
          <cell r="AL544">
            <v>126120</v>
          </cell>
        </row>
        <row r="545">
          <cell r="B545">
            <v>44341</v>
          </cell>
          <cell r="C545">
            <v>16242720000</v>
          </cell>
          <cell r="G545">
            <v>16242720000</v>
          </cell>
          <cell r="H545">
            <v>4385534</v>
          </cell>
          <cell r="I545">
            <v>3030758000</v>
          </cell>
          <cell r="J545">
            <v>16853000000</v>
          </cell>
          <cell r="K545">
            <v>19883758000</v>
          </cell>
          <cell r="M545">
            <v>1968307000</v>
          </cell>
          <cell r="O545">
            <v>1968307000</v>
          </cell>
          <cell r="P545">
            <v>196354000</v>
          </cell>
          <cell r="R545">
            <v>196354000</v>
          </cell>
          <cell r="S545">
            <v>667119000</v>
          </cell>
          <cell r="U545">
            <v>667119000</v>
          </cell>
          <cell r="V545">
            <v>454492000</v>
          </cell>
          <cell r="X545">
            <v>454492000</v>
          </cell>
          <cell r="AK545">
            <v>3715779</v>
          </cell>
          <cell r="AL545">
            <v>249570</v>
          </cell>
        </row>
        <row r="546">
          <cell r="B546">
            <v>44342</v>
          </cell>
          <cell r="C546">
            <v>38902220000</v>
          </cell>
          <cell r="D546">
            <v>1550300000</v>
          </cell>
          <cell r="G546">
            <v>40452520000</v>
          </cell>
          <cell r="H546">
            <v>10922180</v>
          </cell>
          <cell r="I546">
            <v>1116198000</v>
          </cell>
          <cell r="K546">
            <v>1116198000</v>
          </cell>
          <cell r="M546">
            <v>667867000</v>
          </cell>
          <cell r="O546">
            <v>667867000</v>
          </cell>
          <cell r="P546">
            <v>920652000</v>
          </cell>
          <cell r="R546">
            <v>920652000</v>
          </cell>
          <cell r="S546">
            <v>623219000</v>
          </cell>
          <cell r="U546">
            <v>623219000</v>
          </cell>
          <cell r="V546">
            <v>331328000</v>
          </cell>
          <cell r="W546">
            <v>9640960000</v>
          </cell>
          <cell r="X546">
            <v>9972288000</v>
          </cell>
          <cell r="AK546">
            <v>2130573</v>
          </cell>
          <cell r="AL546">
            <v>137370</v>
          </cell>
        </row>
        <row r="547">
          <cell r="B547">
            <v>44343</v>
          </cell>
          <cell r="C547">
            <v>29395370000</v>
          </cell>
          <cell r="D547">
            <v>7863080000</v>
          </cell>
          <cell r="G547">
            <v>37258450000</v>
          </cell>
          <cell r="H547">
            <v>10059782</v>
          </cell>
          <cell r="I547">
            <v>241057000</v>
          </cell>
          <cell r="J547">
            <v>56962000000</v>
          </cell>
          <cell r="K547">
            <v>57203057000</v>
          </cell>
          <cell r="M547">
            <v>5246034000</v>
          </cell>
          <cell r="O547">
            <v>5246034000</v>
          </cell>
          <cell r="P547">
            <v>178776000</v>
          </cell>
          <cell r="R547">
            <v>178776000</v>
          </cell>
          <cell r="S547">
            <v>888523000</v>
          </cell>
          <cell r="U547">
            <v>888523000</v>
          </cell>
          <cell r="V547">
            <v>129002000</v>
          </cell>
          <cell r="W547">
            <v>3028720000</v>
          </cell>
          <cell r="X547">
            <v>3157722000</v>
          </cell>
          <cell r="AK547">
            <v>11520136</v>
          </cell>
          <cell r="AL547">
            <v>384900</v>
          </cell>
        </row>
        <row r="548">
          <cell r="C548">
            <v>136073094000</v>
          </cell>
          <cell r="D548">
            <v>9413380000</v>
          </cell>
          <cell r="E548">
            <v>0</v>
          </cell>
          <cell r="F548">
            <v>0</v>
          </cell>
          <cell r="G548">
            <v>145486474000</v>
          </cell>
          <cell r="H548">
            <v>39281348</v>
          </cell>
          <cell r="I548">
            <v>9892533000</v>
          </cell>
          <cell r="J548">
            <v>86985250000</v>
          </cell>
          <cell r="K548">
            <v>96877783000</v>
          </cell>
          <cell r="L548">
            <v>0</v>
          </cell>
          <cell r="M548">
            <v>10531673000</v>
          </cell>
          <cell r="N548">
            <v>0</v>
          </cell>
          <cell r="O548">
            <v>10531673000</v>
          </cell>
          <cell r="P548">
            <v>3787064000</v>
          </cell>
          <cell r="Q548">
            <v>0</v>
          </cell>
          <cell r="R548">
            <v>3787064000</v>
          </cell>
          <cell r="S548">
            <v>3579143000</v>
          </cell>
          <cell r="T548">
            <v>0</v>
          </cell>
          <cell r="U548">
            <v>3579143000</v>
          </cell>
          <cell r="V548">
            <v>2100695000</v>
          </cell>
          <cell r="W548">
            <v>13391420000</v>
          </cell>
          <cell r="X548">
            <v>15492115000</v>
          </cell>
          <cell r="AK548">
            <v>21296040</v>
          </cell>
          <cell r="AL548">
            <v>1053570</v>
          </cell>
        </row>
        <row r="549">
          <cell r="B549">
            <v>44344</v>
          </cell>
          <cell r="C549">
            <v>17596865000</v>
          </cell>
          <cell r="G549">
            <v>17596865000</v>
          </cell>
          <cell r="H549">
            <v>4751154</v>
          </cell>
          <cell r="I549">
            <v>6378381000</v>
          </cell>
          <cell r="J549">
            <v>6122500000</v>
          </cell>
          <cell r="K549">
            <v>12500881000</v>
          </cell>
          <cell r="M549">
            <v>2477402000</v>
          </cell>
          <cell r="O549">
            <v>2477402000</v>
          </cell>
          <cell r="P549">
            <v>1159700000</v>
          </cell>
          <cell r="R549">
            <v>1159700000</v>
          </cell>
          <cell r="S549">
            <v>756505000</v>
          </cell>
          <cell r="U549">
            <v>756505000</v>
          </cell>
          <cell r="V549">
            <v>28656000</v>
          </cell>
          <cell r="X549">
            <v>28656000</v>
          </cell>
          <cell r="AK549">
            <v>2268520</v>
          </cell>
          <cell r="AL549">
            <v>137010</v>
          </cell>
        </row>
        <row r="550">
          <cell r="B550">
            <v>44347</v>
          </cell>
          <cell r="C550">
            <v>31550805000</v>
          </cell>
          <cell r="D550">
            <v>10791530000</v>
          </cell>
          <cell r="E550">
            <v>2585940000</v>
          </cell>
          <cell r="G550">
            <v>44928275000</v>
          </cell>
          <cell r="H550">
            <v>12130634</v>
          </cell>
          <cell r="I550">
            <v>654650000</v>
          </cell>
          <cell r="J550">
            <v>7311000000</v>
          </cell>
          <cell r="K550">
            <v>7965650000</v>
          </cell>
          <cell r="M550">
            <v>350489000</v>
          </cell>
          <cell r="O550">
            <v>350489000</v>
          </cell>
          <cell r="P550">
            <v>61059000</v>
          </cell>
          <cell r="R550">
            <v>61059000</v>
          </cell>
          <cell r="S550">
            <v>706709000</v>
          </cell>
          <cell r="U550">
            <v>706709000</v>
          </cell>
          <cell r="V550">
            <v>979481000</v>
          </cell>
          <cell r="X550">
            <v>979481000</v>
          </cell>
          <cell r="AK550">
            <v>1613238</v>
          </cell>
          <cell r="AL550">
            <v>237675</v>
          </cell>
        </row>
        <row r="551">
          <cell r="B551">
            <v>44348</v>
          </cell>
          <cell r="C551">
            <v>22312700000</v>
          </cell>
          <cell r="D551">
            <v>2389390000</v>
          </cell>
          <cell r="G551">
            <v>24702090000</v>
          </cell>
          <cell r="H551">
            <v>6669564</v>
          </cell>
          <cell r="I551">
            <v>4054420000</v>
          </cell>
          <cell r="K551">
            <v>4054420000</v>
          </cell>
          <cell r="M551">
            <v>253619000</v>
          </cell>
          <cell r="O551">
            <v>253619000</v>
          </cell>
          <cell r="P551">
            <v>101001000</v>
          </cell>
          <cell r="R551">
            <v>101001000</v>
          </cell>
          <cell r="S551">
            <v>294436000</v>
          </cell>
          <cell r="U551">
            <v>294436000</v>
          </cell>
          <cell r="V551">
            <v>64675000</v>
          </cell>
          <cell r="X551">
            <v>64675000</v>
          </cell>
          <cell r="AK551">
            <v>514960</v>
          </cell>
          <cell r="AL551">
            <v>49230</v>
          </cell>
        </row>
        <row r="552">
          <cell r="B552">
            <v>44349</v>
          </cell>
          <cell r="C552">
            <v>26742770000</v>
          </cell>
          <cell r="D552">
            <v>10116900000</v>
          </cell>
          <cell r="G552">
            <v>36859670000</v>
          </cell>
          <cell r="H552">
            <v>9952111</v>
          </cell>
          <cell r="I552">
            <v>4747721000</v>
          </cell>
          <cell r="J552">
            <v>37408000000</v>
          </cell>
          <cell r="K552">
            <v>42155721000</v>
          </cell>
          <cell r="M552">
            <v>2134073000</v>
          </cell>
          <cell r="O552">
            <v>2134073000</v>
          </cell>
          <cell r="P552">
            <v>44125000</v>
          </cell>
          <cell r="R552">
            <v>44125000</v>
          </cell>
          <cell r="S552">
            <v>547119000</v>
          </cell>
          <cell r="U552">
            <v>547119000</v>
          </cell>
          <cell r="V552">
            <v>292262000</v>
          </cell>
          <cell r="X552">
            <v>292262000</v>
          </cell>
          <cell r="AK552">
            <v>7572092</v>
          </cell>
          <cell r="AL552">
            <v>350580</v>
          </cell>
        </row>
        <row r="553">
          <cell r="B553">
            <v>44350</v>
          </cell>
          <cell r="C553">
            <v>26959730000</v>
          </cell>
          <cell r="D553">
            <v>7720535000</v>
          </cell>
          <cell r="E553">
            <v>721070000</v>
          </cell>
          <cell r="G553">
            <v>35401335000</v>
          </cell>
          <cell r="H553">
            <v>9558360</v>
          </cell>
          <cell r="I553">
            <v>6661413000</v>
          </cell>
          <cell r="K553">
            <v>6661413000</v>
          </cell>
          <cell r="M553">
            <v>38011000</v>
          </cell>
          <cell r="O553">
            <v>38011000</v>
          </cell>
          <cell r="P553">
            <v>84238000</v>
          </cell>
          <cell r="R553">
            <v>84238000</v>
          </cell>
          <cell r="S553">
            <v>2158922000</v>
          </cell>
          <cell r="U553">
            <v>2158922000</v>
          </cell>
          <cell r="V553">
            <v>1231408000</v>
          </cell>
          <cell r="X553">
            <v>1231408000</v>
          </cell>
          <cell r="AK553">
            <v>1098791</v>
          </cell>
          <cell r="AL553">
            <v>106320</v>
          </cell>
        </row>
        <row r="554">
          <cell r="C554">
            <v>125162870000</v>
          </cell>
          <cell r="D554">
            <v>31018355000</v>
          </cell>
          <cell r="E554">
            <v>3307010000</v>
          </cell>
          <cell r="F554">
            <v>0</v>
          </cell>
          <cell r="G554">
            <v>159488235000</v>
          </cell>
          <cell r="H554">
            <v>43061823</v>
          </cell>
          <cell r="I554">
            <v>22496585000</v>
          </cell>
          <cell r="J554">
            <v>50841500000</v>
          </cell>
          <cell r="K554">
            <v>73338085000</v>
          </cell>
          <cell r="L554">
            <v>0</v>
          </cell>
          <cell r="M554">
            <v>5253594000</v>
          </cell>
          <cell r="N554">
            <v>0</v>
          </cell>
          <cell r="O554">
            <v>5253594000</v>
          </cell>
          <cell r="P554">
            <v>1450123000</v>
          </cell>
          <cell r="Q554">
            <v>0</v>
          </cell>
          <cell r="R554">
            <v>1450123000</v>
          </cell>
          <cell r="S554">
            <v>4463691000</v>
          </cell>
          <cell r="T554">
            <v>0</v>
          </cell>
          <cell r="U554">
            <v>4463691000</v>
          </cell>
          <cell r="V554">
            <v>2596482000</v>
          </cell>
          <cell r="W554">
            <v>0</v>
          </cell>
          <cell r="X554">
            <v>2596482000</v>
          </cell>
          <cell r="AK554">
            <v>13067601</v>
          </cell>
          <cell r="AL554">
            <v>880815</v>
          </cell>
        </row>
        <row r="555">
          <cell r="B555">
            <v>44351</v>
          </cell>
          <cell r="C555">
            <v>22276050000</v>
          </cell>
          <cell r="D555">
            <v>7252320000</v>
          </cell>
          <cell r="G555">
            <v>29528370000</v>
          </cell>
          <cell r="H555">
            <v>7972660</v>
          </cell>
          <cell r="I555">
            <v>2527000</v>
          </cell>
          <cell r="J555">
            <v>10073000000</v>
          </cell>
          <cell r="K555">
            <v>10075527000</v>
          </cell>
          <cell r="M555">
            <v>1656578000</v>
          </cell>
          <cell r="N555">
            <v>5056000000</v>
          </cell>
          <cell r="O555">
            <v>6712578000</v>
          </cell>
          <cell r="P555">
            <v>291293000</v>
          </cell>
          <cell r="R555">
            <v>291293000</v>
          </cell>
          <cell r="S555">
            <v>513010000</v>
          </cell>
          <cell r="U555">
            <v>513010000</v>
          </cell>
          <cell r="V555">
            <v>78984000</v>
          </cell>
          <cell r="X555">
            <v>78984000</v>
          </cell>
          <cell r="AK555">
            <v>2997798</v>
          </cell>
          <cell r="AL555">
            <v>172440</v>
          </cell>
        </row>
        <row r="556">
          <cell r="B556">
            <v>44354</v>
          </cell>
          <cell r="C556">
            <v>21877570000</v>
          </cell>
          <cell r="G556">
            <v>21877570000</v>
          </cell>
          <cell r="H556">
            <v>5906944</v>
          </cell>
          <cell r="I556">
            <v>549988000</v>
          </cell>
          <cell r="J556">
            <v>4958000000</v>
          </cell>
          <cell r="K556">
            <v>5507988000</v>
          </cell>
          <cell r="M556">
            <v>1010903000</v>
          </cell>
          <cell r="N556">
            <v>14816000000</v>
          </cell>
          <cell r="O556">
            <v>15826903000</v>
          </cell>
          <cell r="P556">
            <v>228423000</v>
          </cell>
          <cell r="R556">
            <v>228423000</v>
          </cell>
          <cell r="S556">
            <v>764265000</v>
          </cell>
          <cell r="U556">
            <v>764265000</v>
          </cell>
          <cell r="V556">
            <v>570077000</v>
          </cell>
          <cell r="X556">
            <v>570077000</v>
          </cell>
          <cell r="AK556">
            <v>3896675</v>
          </cell>
          <cell r="AL556">
            <v>90870</v>
          </cell>
        </row>
        <row r="557">
          <cell r="B557">
            <v>44355</v>
          </cell>
          <cell r="C557">
            <v>46804775000</v>
          </cell>
          <cell r="D557">
            <v>3175400000</v>
          </cell>
          <cell r="G557">
            <v>49980175000</v>
          </cell>
          <cell r="H557">
            <v>13494647</v>
          </cell>
          <cell r="I557">
            <v>261555000</v>
          </cell>
          <cell r="J557">
            <v>19847000000</v>
          </cell>
          <cell r="K557">
            <v>20108555000</v>
          </cell>
          <cell r="M557">
            <v>1220124000</v>
          </cell>
          <cell r="N557">
            <v>14822000000</v>
          </cell>
          <cell r="O557">
            <v>16042124000</v>
          </cell>
          <cell r="P557">
            <v>225728000</v>
          </cell>
          <cell r="R557">
            <v>225728000</v>
          </cell>
          <cell r="S557">
            <v>628826000</v>
          </cell>
          <cell r="U557">
            <v>628826000</v>
          </cell>
          <cell r="V557">
            <v>71461000</v>
          </cell>
          <cell r="X557">
            <v>71461000</v>
          </cell>
          <cell r="AK557">
            <v>6500451</v>
          </cell>
          <cell r="AL557">
            <v>316530</v>
          </cell>
        </row>
        <row r="558">
          <cell r="B558">
            <v>44356</v>
          </cell>
          <cell r="C558">
            <v>91714250000</v>
          </cell>
          <cell r="D558">
            <v>8438700000</v>
          </cell>
          <cell r="G558">
            <v>100152950000</v>
          </cell>
          <cell r="H558">
            <v>27041297</v>
          </cell>
          <cell r="I558">
            <v>3048062000</v>
          </cell>
          <cell r="J558">
            <v>88049300000</v>
          </cell>
          <cell r="K558">
            <v>91097362000</v>
          </cell>
          <cell r="M558">
            <v>95263000</v>
          </cell>
          <cell r="N558">
            <v>7146000000</v>
          </cell>
          <cell r="O558">
            <v>7241263000</v>
          </cell>
          <cell r="P558">
            <v>38384000</v>
          </cell>
          <cell r="R558">
            <v>38384000</v>
          </cell>
          <cell r="S558">
            <v>490712000</v>
          </cell>
          <cell r="U558">
            <v>490712000</v>
          </cell>
          <cell r="V558">
            <v>64960000</v>
          </cell>
          <cell r="X558">
            <v>64960000</v>
          </cell>
          <cell r="AK558">
            <v>17538791</v>
          </cell>
          <cell r="AL558">
            <v>341550</v>
          </cell>
        </row>
        <row r="559">
          <cell r="B559">
            <v>44357</v>
          </cell>
          <cell r="C559">
            <v>35193505000</v>
          </cell>
          <cell r="D559">
            <v>18669030000</v>
          </cell>
          <cell r="G559">
            <v>53862535000</v>
          </cell>
          <cell r="H559">
            <v>14542884</v>
          </cell>
          <cell r="I559">
            <v>5963399000</v>
          </cell>
          <cell r="J559">
            <v>31759500000</v>
          </cell>
          <cell r="K559">
            <v>37722899000</v>
          </cell>
          <cell r="M559">
            <v>2102581000</v>
          </cell>
          <cell r="N559">
            <v>9738000000</v>
          </cell>
          <cell r="O559">
            <v>11840581000</v>
          </cell>
          <cell r="P559">
            <v>54394000</v>
          </cell>
          <cell r="R559">
            <v>54394000</v>
          </cell>
          <cell r="S559">
            <v>724268000</v>
          </cell>
          <cell r="U559">
            <v>724268000</v>
          </cell>
          <cell r="V559">
            <v>144334000</v>
          </cell>
          <cell r="X559">
            <v>144334000</v>
          </cell>
          <cell r="AK559">
            <v>8440359</v>
          </cell>
          <cell r="AL559">
            <v>362040</v>
          </cell>
        </row>
        <row r="560">
          <cell r="C560">
            <v>217866150000</v>
          </cell>
          <cell r="D560">
            <v>37535450000</v>
          </cell>
          <cell r="E560">
            <v>0</v>
          </cell>
          <cell r="F560">
            <v>0</v>
          </cell>
          <cell r="G560">
            <v>255401600000</v>
          </cell>
          <cell r="H560">
            <v>68958432</v>
          </cell>
          <cell r="I560">
            <v>9825531000</v>
          </cell>
          <cell r="J560">
            <v>154686800000</v>
          </cell>
          <cell r="K560">
            <v>164512331000</v>
          </cell>
          <cell r="L560">
            <v>0</v>
          </cell>
          <cell r="M560">
            <v>6085449000</v>
          </cell>
          <cell r="N560">
            <v>51578000000</v>
          </cell>
          <cell r="O560">
            <v>57663449000</v>
          </cell>
          <cell r="P560">
            <v>838222000</v>
          </cell>
          <cell r="Q560">
            <v>0</v>
          </cell>
          <cell r="R560">
            <v>838222000</v>
          </cell>
          <cell r="S560">
            <v>3121081000</v>
          </cell>
          <cell r="T560">
            <v>0</v>
          </cell>
          <cell r="U560">
            <v>3121081000</v>
          </cell>
          <cell r="V560">
            <v>929816000</v>
          </cell>
          <cell r="W560">
            <v>0</v>
          </cell>
          <cell r="X560">
            <v>929816000</v>
          </cell>
          <cell r="AK560">
            <v>39374075</v>
          </cell>
          <cell r="AL560">
            <v>1283430</v>
          </cell>
        </row>
        <row r="561">
          <cell r="B561">
            <v>44358</v>
          </cell>
          <cell r="C561">
            <v>12456355000</v>
          </cell>
          <cell r="D561">
            <v>22493685000</v>
          </cell>
          <cell r="G561">
            <v>34950040000</v>
          </cell>
          <cell r="H561">
            <v>9436511</v>
          </cell>
          <cell r="I561">
            <v>151861000</v>
          </cell>
          <cell r="J561">
            <v>17057000000</v>
          </cell>
          <cell r="K561">
            <v>17208861000</v>
          </cell>
          <cell r="M561">
            <v>10348263000</v>
          </cell>
          <cell r="O561">
            <v>10348263000</v>
          </cell>
          <cell r="P561">
            <v>815466000</v>
          </cell>
          <cell r="R561">
            <v>815466000</v>
          </cell>
          <cell r="S561">
            <v>775206000</v>
          </cell>
          <cell r="U561">
            <v>775206000</v>
          </cell>
          <cell r="V561">
            <v>213838000</v>
          </cell>
          <cell r="X561">
            <v>213838000</v>
          </cell>
          <cell r="AK561">
            <v>4399160</v>
          </cell>
          <cell r="AL561">
            <v>377580</v>
          </cell>
        </row>
        <row r="562">
          <cell r="B562">
            <v>44361</v>
          </cell>
          <cell r="C562">
            <v>44168600000</v>
          </cell>
          <cell r="D562">
            <v>11848330000</v>
          </cell>
          <cell r="G562">
            <v>56016930000</v>
          </cell>
          <cell r="H562">
            <v>15124571</v>
          </cell>
          <cell r="I562">
            <v>5209725000</v>
          </cell>
          <cell r="J562">
            <v>30148000000</v>
          </cell>
          <cell r="K562">
            <v>35357725000</v>
          </cell>
          <cell r="M562">
            <v>10312333000</v>
          </cell>
          <cell r="O562">
            <v>10312333000</v>
          </cell>
          <cell r="P562">
            <v>306029000</v>
          </cell>
          <cell r="R562">
            <v>306029000</v>
          </cell>
          <cell r="S562">
            <v>618219000</v>
          </cell>
          <cell r="U562">
            <v>618219000</v>
          </cell>
          <cell r="V562">
            <v>57738000</v>
          </cell>
          <cell r="X562">
            <v>57738000</v>
          </cell>
          <cell r="AK562">
            <v>7209077</v>
          </cell>
          <cell r="AL562">
            <v>388770</v>
          </cell>
        </row>
        <row r="563">
          <cell r="B563">
            <v>44362</v>
          </cell>
          <cell r="C563">
            <v>66063255000</v>
          </cell>
          <cell r="G563">
            <v>66063255000</v>
          </cell>
          <cell r="H563">
            <v>17837079</v>
          </cell>
          <cell r="I563">
            <v>4991814000</v>
          </cell>
          <cell r="J563">
            <v>49984500000</v>
          </cell>
          <cell r="K563">
            <v>54976314000</v>
          </cell>
          <cell r="M563">
            <v>3215971000</v>
          </cell>
          <cell r="O563">
            <v>3215971000</v>
          </cell>
          <cell r="P563">
            <v>222479000</v>
          </cell>
          <cell r="R563">
            <v>222479000</v>
          </cell>
          <cell r="S563">
            <v>586043000</v>
          </cell>
          <cell r="U563">
            <v>586043000</v>
          </cell>
          <cell r="V563">
            <v>18620000</v>
          </cell>
          <cell r="X563">
            <v>18620000</v>
          </cell>
          <cell r="AK563">
            <v>9972982</v>
          </cell>
          <cell r="AL563">
            <v>375000</v>
          </cell>
        </row>
        <row r="564">
          <cell r="B564">
            <v>44363</v>
          </cell>
          <cell r="C564">
            <v>58948685000</v>
          </cell>
          <cell r="G564">
            <v>58948685000</v>
          </cell>
          <cell r="H564">
            <v>15916145</v>
          </cell>
          <cell r="I564">
            <v>550562000</v>
          </cell>
          <cell r="J564">
            <v>9920000000</v>
          </cell>
          <cell r="K564">
            <v>10470562000</v>
          </cell>
          <cell r="M564">
            <v>2763159000</v>
          </cell>
          <cell r="O564">
            <v>2763159000</v>
          </cell>
          <cell r="P564">
            <v>80044000</v>
          </cell>
          <cell r="R564">
            <v>80044000</v>
          </cell>
          <cell r="S564">
            <v>506083000</v>
          </cell>
          <cell r="U564">
            <v>506083000</v>
          </cell>
          <cell r="V564">
            <v>158419000</v>
          </cell>
          <cell r="X564">
            <v>158419000</v>
          </cell>
          <cell r="AK564">
            <v>2223893</v>
          </cell>
          <cell r="AL564">
            <v>304710</v>
          </cell>
        </row>
        <row r="565">
          <cell r="B565">
            <v>44364</v>
          </cell>
          <cell r="C565">
            <v>31685000000</v>
          </cell>
          <cell r="E565">
            <v>1435260000</v>
          </cell>
          <cell r="G565">
            <v>33120260000</v>
          </cell>
          <cell r="H565">
            <v>8942470</v>
          </cell>
          <cell r="I565">
            <v>4901896000</v>
          </cell>
          <cell r="J565">
            <v>64075500000</v>
          </cell>
          <cell r="K565">
            <v>68977396000</v>
          </cell>
          <cell r="M565">
            <v>2635991000</v>
          </cell>
          <cell r="O565">
            <v>2635991000</v>
          </cell>
          <cell r="P565">
            <v>37619000</v>
          </cell>
          <cell r="R565">
            <v>37619000</v>
          </cell>
          <cell r="S565">
            <v>656894000</v>
          </cell>
          <cell r="U565">
            <v>656894000</v>
          </cell>
          <cell r="V565">
            <v>85321000</v>
          </cell>
          <cell r="X565">
            <v>85321000</v>
          </cell>
          <cell r="AK565">
            <v>12431904</v>
          </cell>
          <cell r="AL565">
            <v>383220</v>
          </cell>
        </row>
        <row r="566">
          <cell r="C566">
            <v>213321895000</v>
          </cell>
          <cell r="D566">
            <v>34342015000</v>
          </cell>
          <cell r="E566">
            <v>1435260000</v>
          </cell>
          <cell r="F566">
            <v>0</v>
          </cell>
          <cell r="G566">
            <v>249099170000</v>
          </cell>
          <cell r="H566">
            <v>67256776</v>
          </cell>
          <cell r="I566">
            <v>15805858000</v>
          </cell>
          <cell r="J566">
            <v>171185000000</v>
          </cell>
          <cell r="K566">
            <v>186990858000</v>
          </cell>
          <cell r="L566">
            <v>0</v>
          </cell>
          <cell r="M566">
            <v>29275717000</v>
          </cell>
          <cell r="N566">
            <v>0</v>
          </cell>
          <cell r="O566">
            <v>29275717000</v>
          </cell>
          <cell r="P566">
            <v>1461637000</v>
          </cell>
          <cell r="Q566">
            <v>0</v>
          </cell>
          <cell r="R566">
            <v>1461637000</v>
          </cell>
          <cell r="S566">
            <v>3142445000</v>
          </cell>
          <cell r="T566">
            <v>0</v>
          </cell>
          <cell r="U566">
            <v>3142445000</v>
          </cell>
          <cell r="V566">
            <v>533936000</v>
          </cell>
          <cell r="W566">
            <v>0</v>
          </cell>
          <cell r="X566">
            <v>533936000</v>
          </cell>
          <cell r="AK566">
            <v>36237016</v>
          </cell>
          <cell r="AL566">
            <v>1829280</v>
          </cell>
        </row>
        <row r="567">
          <cell r="B567">
            <v>44365</v>
          </cell>
          <cell r="C567">
            <v>63987985000</v>
          </cell>
          <cell r="D567">
            <v>3081830000</v>
          </cell>
          <cell r="G567">
            <v>67069815000</v>
          </cell>
          <cell r="H567">
            <v>18108850</v>
          </cell>
          <cell r="I567">
            <v>5149895000</v>
          </cell>
          <cell r="J567">
            <v>24403600000</v>
          </cell>
          <cell r="K567">
            <v>29553495000</v>
          </cell>
          <cell r="M567">
            <v>4517546000</v>
          </cell>
          <cell r="O567">
            <v>4517546000</v>
          </cell>
          <cell r="P567">
            <v>153561000</v>
          </cell>
          <cell r="R567">
            <v>153561000</v>
          </cell>
          <cell r="S567">
            <v>564409000</v>
          </cell>
          <cell r="U567">
            <v>564409000</v>
          </cell>
          <cell r="V567">
            <v>10982000</v>
          </cell>
          <cell r="X567">
            <v>10982000</v>
          </cell>
          <cell r="AK567">
            <v>5515458</v>
          </cell>
          <cell r="AL567">
            <v>315360</v>
          </cell>
        </row>
        <row r="568">
          <cell r="B568">
            <v>44368</v>
          </cell>
          <cell r="C568">
            <v>45713130000</v>
          </cell>
          <cell r="D568">
            <v>15053310000</v>
          </cell>
          <cell r="G568">
            <v>60766440000</v>
          </cell>
          <cell r="H568">
            <v>16406939</v>
          </cell>
          <cell r="I568">
            <v>7793159000</v>
          </cell>
          <cell r="J568">
            <v>0</v>
          </cell>
          <cell r="K568">
            <v>7793159000</v>
          </cell>
          <cell r="M568">
            <v>1426732000</v>
          </cell>
          <cell r="N568">
            <v>4946000000</v>
          </cell>
          <cell r="O568">
            <v>6372732000</v>
          </cell>
          <cell r="P568">
            <v>56748000</v>
          </cell>
          <cell r="R568">
            <v>56748000</v>
          </cell>
          <cell r="S568">
            <v>739090000</v>
          </cell>
          <cell r="U568">
            <v>739090000</v>
          </cell>
          <cell r="V568">
            <v>686580000</v>
          </cell>
          <cell r="X568">
            <v>686580000</v>
          </cell>
          <cell r="AK568">
            <v>2046129</v>
          </cell>
          <cell r="AL568">
            <v>197100</v>
          </cell>
        </row>
        <row r="569">
          <cell r="B569">
            <v>44369</v>
          </cell>
          <cell r="C569">
            <v>17058935000</v>
          </cell>
          <cell r="D569">
            <v>7744300000</v>
          </cell>
          <cell r="G569">
            <v>24803235000</v>
          </cell>
          <cell r="H569">
            <v>6696873</v>
          </cell>
          <cell r="I569">
            <v>11495223000</v>
          </cell>
          <cell r="K569">
            <v>11495223000</v>
          </cell>
          <cell r="M569">
            <v>3505251000</v>
          </cell>
          <cell r="N569">
            <v>9960000000</v>
          </cell>
          <cell r="O569">
            <v>13465251000</v>
          </cell>
          <cell r="P569">
            <v>298590000</v>
          </cell>
          <cell r="R569">
            <v>298590000</v>
          </cell>
          <cell r="S569">
            <v>643722000</v>
          </cell>
          <cell r="U569">
            <v>643722000</v>
          </cell>
          <cell r="V569">
            <v>31636000</v>
          </cell>
          <cell r="X569">
            <v>31636000</v>
          </cell>
          <cell r="AK569">
            <v>3518038</v>
          </cell>
          <cell r="AL569">
            <v>58950</v>
          </cell>
        </row>
        <row r="570">
          <cell r="B570">
            <v>44370</v>
          </cell>
          <cell r="C570">
            <v>34001215000</v>
          </cell>
          <cell r="D570">
            <v>3792450000</v>
          </cell>
          <cell r="G570">
            <v>37793665000</v>
          </cell>
          <cell r="H570">
            <v>10204290</v>
          </cell>
          <cell r="I570">
            <v>1179814000</v>
          </cell>
          <cell r="J570">
            <v>5256300000</v>
          </cell>
          <cell r="K570">
            <v>6436114000</v>
          </cell>
          <cell r="M570">
            <v>1737363000</v>
          </cell>
          <cell r="O570">
            <v>1737363000</v>
          </cell>
          <cell r="P570">
            <v>332369000</v>
          </cell>
          <cell r="Q570">
            <v>4472000000</v>
          </cell>
          <cell r="R570">
            <v>4804369000</v>
          </cell>
          <cell r="S570">
            <v>827961000</v>
          </cell>
          <cell r="U570">
            <v>827961000</v>
          </cell>
          <cell r="V570">
            <v>148208000</v>
          </cell>
          <cell r="X570">
            <v>148208000</v>
          </cell>
          <cell r="AK570">
            <v>2207471</v>
          </cell>
          <cell r="AL570">
            <v>197460</v>
          </cell>
        </row>
        <row r="571">
          <cell r="B571">
            <v>44371</v>
          </cell>
          <cell r="C571">
            <v>64457995000</v>
          </cell>
          <cell r="G571">
            <v>64457995000</v>
          </cell>
          <cell r="H571">
            <v>17403659</v>
          </cell>
          <cell r="I571">
            <v>13928880000</v>
          </cell>
          <cell r="J571">
            <v>34267400000</v>
          </cell>
          <cell r="K571">
            <v>48196280000</v>
          </cell>
          <cell r="M571">
            <v>12712677000</v>
          </cell>
          <cell r="O571">
            <v>12712677000</v>
          </cell>
          <cell r="P571">
            <v>257954000</v>
          </cell>
          <cell r="R571">
            <v>257954000</v>
          </cell>
          <cell r="S571">
            <v>917682000</v>
          </cell>
          <cell r="U571">
            <v>917682000</v>
          </cell>
          <cell r="V571">
            <v>22332000</v>
          </cell>
          <cell r="X571">
            <v>22332000</v>
          </cell>
          <cell r="AK571">
            <v>9174801</v>
          </cell>
          <cell r="AL571">
            <v>538620</v>
          </cell>
        </row>
        <row r="572">
          <cell r="C572">
            <v>225219260000</v>
          </cell>
          <cell r="D572">
            <v>29671890000</v>
          </cell>
          <cell r="E572">
            <v>0</v>
          </cell>
          <cell r="F572">
            <v>0</v>
          </cell>
          <cell r="G572">
            <v>254891150000</v>
          </cell>
          <cell r="H572">
            <v>68820611</v>
          </cell>
          <cell r="I572">
            <v>39546971000</v>
          </cell>
          <cell r="J572">
            <v>63927300000</v>
          </cell>
          <cell r="K572">
            <v>103474271000</v>
          </cell>
          <cell r="L572">
            <v>0</v>
          </cell>
          <cell r="M572">
            <v>23899569000</v>
          </cell>
          <cell r="N572">
            <v>14906000000</v>
          </cell>
          <cell r="O572">
            <v>38805569000</v>
          </cell>
          <cell r="P572">
            <v>1099222000</v>
          </cell>
          <cell r="Q572">
            <v>4472000000</v>
          </cell>
          <cell r="R572">
            <v>5571222000</v>
          </cell>
          <cell r="S572">
            <v>3692864000</v>
          </cell>
          <cell r="T572">
            <v>0</v>
          </cell>
          <cell r="U572">
            <v>3692864000</v>
          </cell>
          <cell r="V572">
            <v>899738000</v>
          </cell>
          <cell r="W572">
            <v>0</v>
          </cell>
          <cell r="X572">
            <v>899738000</v>
          </cell>
          <cell r="AK572">
            <v>22461897</v>
          </cell>
          <cell r="AL572">
            <v>1307490</v>
          </cell>
        </row>
        <row r="573">
          <cell r="B573">
            <v>44372</v>
          </cell>
          <cell r="C573">
            <v>70606716000</v>
          </cell>
          <cell r="G573">
            <v>70606716000</v>
          </cell>
          <cell r="H573">
            <v>19063813</v>
          </cell>
          <cell r="I573">
            <v>17519992000</v>
          </cell>
          <cell r="J573">
            <v>22533500000</v>
          </cell>
          <cell r="K573">
            <v>40053492000</v>
          </cell>
          <cell r="M573">
            <v>8887477000</v>
          </cell>
          <cell r="N573">
            <v>7269180000</v>
          </cell>
          <cell r="O573">
            <v>16156657000</v>
          </cell>
          <cell r="P573">
            <v>37734000</v>
          </cell>
          <cell r="R573">
            <v>37734000</v>
          </cell>
          <cell r="S573">
            <v>606867000</v>
          </cell>
          <cell r="U573">
            <v>606867000</v>
          </cell>
          <cell r="V573">
            <v>162694000</v>
          </cell>
          <cell r="X573">
            <v>162694000</v>
          </cell>
          <cell r="AK573">
            <v>8303677</v>
          </cell>
          <cell r="AL573">
            <v>474570</v>
          </cell>
        </row>
        <row r="574">
          <cell r="B574">
            <v>44375</v>
          </cell>
          <cell r="C574">
            <v>62407250000</v>
          </cell>
          <cell r="D574">
            <v>5575100000</v>
          </cell>
          <cell r="G574">
            <v>67982350000</v>
          </cell>
          <cell r="H574">
            <v>18355235</v>
          </cell>
          <cell r="I574">
            <v>11550553000</v>
          </cell>
          <cell r="J574">
            <v>35462000000</v>
          </cell>
          <cell r="K574">
            <v>47012553000</v>
          </cell>
          <cell r="M574">
            <v>8581202000</v>
          </cell>
          <cell r="O574">
            <v>8581202000</v>
          </cell>
          <cell r="P574">
            <v>305294000</v>
          </cell>
          <cell r="R574">
            <v>305294000</v>
          </cell>
          <cell r="S574">
            <v>598538000</v>
          </cell>
          <cell r="U574">
            <v>598538000</v>
          </cell>
          <cell r="V574">
            <v>330494000</v>
          </cell>
          <cell r="X574">
            <v>330494000</v>
          </cell>
          <cell r="AK574">
            <v>8690697</v>
          </cell>
          <cell r="AL574">
            <v>398220</v>
          </cell>
        </row>
        <row r="575">
          <cell r="B575">
            <v>44376</v>
          </cell>
          <cell r="C575">
            <v>98827340000</v>
          </cell>
          <cell r="D575">
            <v>4006820000</v>
          </cell>
          <cell r="G575">
            <v>102834160000</v>
          </cell>
          <cell r="H575">
            <v>27765223</v>
          </cell>
          <cell r="I575">
            <v>17782433000</v>
          </cell>
          <cell r="J575">
            <v>87030500000</v>
          </cell>
          <cell r="K575">
            <v>104812933000</v>
          </cell>
          <cell r="M575">
            <v>11780404000</v>
          </cell>
          <cell r="O575">
            <v>11780404000</v>
          </cell>
          <cell r="P575">
            <v>793249000</v>
          </cell>
          <cell r="R575">
            <v>793249000</v>
          </cell>
          <cell r="S575">
            <v>736779000</v>
          </cell>
          <cell r="U575">
            <v>736779000</v>
          </cell>
          <cell r="V575">
            <v>2025322000</v>
          </cell>
          <cell r="X575">
            <v>2025322000</v>
          </cell>
          <cell r="AK575">
            <v>19242254</v>
          </cell>
          <cell r="AL575">
            <v>555270</v>
          </cell>
        </row>
        <row r="576">
          <cell r="B576">
            <v>44377</v>
          </cell>
          <cell r="C576">
            <v>48518115000</v>
          </cell>
          <cell r="D576">
            <v>21116215000</v>
          </cell>
          <cell r="G576">
            <v>69634330000</v>
          </cell>
          <cell r="H576">
            <v>18801269</v>
          </cell>
          <cell r="I576">
            <v>10291942000</v>
          </cell>
          <cell r="J576">
            <v>113025310000</v>
          </cell>
          <cell r="K576">
            <v>123317252000</v>
          </cell>
          <cell r="M576">
            <v>14657594000</v>
          </cell>
          <cell r="N576">
            <v>23074000000</v>
          </cell>
          <cell r="O576">
            <v>37731594000</v>
          </cell>
          <cell r="P576">
            <v>2631756000</v>
          </cell>
          <cell r="R576">
            <v>2631756000</v>
          </cell>
          <cell r="S576">
            <v>790245000</v>
          </cell>
          <cell r="U576">
            <v>790245000</v>
          </cell>
          <cell r="V576">
            <v>353319000</v>
          </cell>
          <cell r="X576">
            <v>353319000</v>
          </cell>
          <cell r="AK576">
            <v>27600160</v>
          </cell>
          <cell r="AL576">
            <v>575730</v>
          </cell>
        </row>
        <row r="577">
          <cell r="B577">
            <v>44378</v>
          </cell>
          <cell r="C577">
            <v>33139525000</v>
          </cell>
          <cell r="D577">
            <v>23209045000</v>
          </cell>
          <cell r="G577">
            <v>56348570000</v>
          </cell>
          <cell r="H577">
            <v>15214114</v>
          </cell>
          <cell r="I577">
            <v>3499963000</v>
          </cell>
          <cell r="K577">
            <v>3499963000</v>
          </cell>
          <cell r="M577">
            <v>1927749000</v>
          </cell>
          <cell r="O577">
            <v>1927749000</v>
          </cell>
          <cell r="P577">
            <v>748586000</v>
          </cell>
          <cell r="R577">
            <v>748586000</v>
          </cell>
          <cell r="S577">
            <v>705530000</v>
          </cell>
          <cell r="U577">
            <v>705530000</v>
          </cell>
          <cell r="V577">
            <v>216065000</v>
          </cell>
          <cell r="X577">
            <v>216065000</v>
          </cell>
          <cell r="AK577">
            <v>766572</v>
          </cell>
          <cell r="AL577">
            <v>85650</v>
          </cell>
        </row>
        <row r="578">
          <cell r="C578">
            <v>313498946000</v>
          </cell>
          <cell r="D578">
            <v>53907180000</v>
          </cell>
          <cell r="E578">
            <v>0</v>
          </cell>
          <cell r="F578">
            <v>0</v>
          </cell>
          <cell r="G578">
            <v>367406126000</v>
          </cell>
          <cell r="H578">
            <v>99199654</v>
          </cell>
          <cell r="I578">
            <v>60644883000</v>
          </cell>
          <cell r="J578">
            <v>258051310000</v>
          </cell>
          <cell r="K578">
            <v>318696193000</v>
          </cell>
          <cell r="L578">
            <v>0</v>
          </cell>
          <cell r="M578">
            <v>45834426000</v>
          </cell>
          <cell r="N578">
            <v>30343180000</v>
          </cell>
          <cell r="O578">
            <v>76177606000</v>
          </cell>
          <cell r="P578">
            <v>4516619000</v>
          </cell>
          <cell r="Q578">
            <v>0</v>
          </cell>
          <cell r="R578">
            <v>4516619000</v>
          </cell>
          <cell r="S578">
            <v>3437959000</v>
          </cell>
          <cell r="T578">
            <v>0</v>
          </cell>
          <cell r="U578">
            <v>3437959000</v>
          </cell>
          <cell r="V578">
            <v>3087894000</v>
          </cell>
          <cell r="W578">
            <v>0</v>
          </cell>
          <cell r="X578">
            <v>3087894000</v>
          </cell>
          <cell r="AK578">
            <v>64603361</v>
          </cell>
          <cell r="AL578">
            <v>2089440</v>
          </cell>
        </row>
        <row r="579">
          <cell r="B579">
            <v>44379</v>
          </cell>
          <cell r="C579">
            <v>27867645000</v>
          </cell>
          <cell r="D579">
            <v>33045875000</v>
          </cell>
          <cell r="G579">
            <v>60913520000</v>
          </cell>
          <cell r="H579">
            <v>16446650</v>
          </cell>
          <cell r="I579">
            <v>9791379000</v>
          </cell>
          <cell r="J579">
            <v>0</v>
          </cell>
          <cell r="K579">
            <v>9791379000</v>
          </cell>
          <cell r="M579">
            <v>4997142000</v>
          </cell>
          <cell r="O579">
            <v>4997142000</v>
          </cell>
          <cell r="P579">
            <v>2014551000</v>
          </cell>
          <cell r="Q579">
            <v>14022000000</v>
          </cell>
          <cell r="R579">
            <v>16036551000</v>
          </cell>
          <cell r="S579">
            <v>606337000</v>
          </cell>
          <cell r="U579">
            <v>606337000</v>
          </cell>
          <cell r="V579">
            <v>60006000</v>
          </cell>
          <cell r="X579">
            <v>60006000</v>
          </cell>
          <cell r="AK579">
            <v>4410657</v>
          </cell>
          <cell r="AL579">
            <v>89100</v>
          </cell>
        </row>
        <row r="580">
          <cell r="B580">
            <v>44382</v>
          </cell>
          <cell r="C580">
            <v>10234770000</v>
          </cell>
          <cell r="G580">
            <v>10234770000</v>
          </cell>
          <cell r="H580">
            <v>2763388</v>
          </cell>
          <cell r="I580">
            <v>5322523000</v>
          </cell>
          <cell r="J580">
            <v>15713000000</v>
          </cell>
          <cell r="K580">
            <v>21035523000</v>
          </cell>
          <cell r="M580">
            <v>10020944000</v>
          </cell>
          <cell r="O580">
            <v>10020944000</v>
          </cell>
          <cell r="P580">
            <v>1802249000</v>
          </cell>
          <cell r="R580">
            <v>1802249000</v>
          </cell>
          <cell r="S580">
            <v>1248300000</v>
          </cell>
          <cell r="U580">
            <v>1248300000</v>
          </cell>
          <cell r="V580">
            <v>229820000</v>
          </cell>
          <cell r="X580">
            <v>229820000</v>
          </cell>
          <cell r="AK580">
            <v>4839714</v>
          </cell>
          <cell r="AL580">
            <v>294240</v>
          </cell>
        </row>
        <row r="581">
          <cell r="B581">
            <v>44383</v>
          </cell>
          <cell r="C581">
            <v>18618565000</v>
          </cell>
          <cell r="G581">
            <v>18618565000</v>
          </cell>
          <cell r="H581">
            <v>5027013</v>
          </cell>
          <cell r="I581">
            <v>19892394000</v>
          </cell>
          <cell r="J581">
            <v>36279850000</v>
          </cell>
          <cell r="K581">
            <v>56172244000</v>
          </cell>
          <cell r="M581">
            <v>14843611000</v>
          </cell>
          <cell r="N581">
            <v>5353440000</v>
          </cell>
          <cell r="O581">
            <v>20197051000</v>
          </cell>
          <cell r="P581">
            <v>3742035000</v>
          </cell>
          <cell r="R581">
            <v>3742035000</v>
          </cell>
          <cell r="S581">
            <v>822106000</v>
          </cell>
          <cell r="U581">
            <v>822106000</v>
          </cell>
          <cell r="V581">
            <v>141615000</v>
          </cell>
          <cell r="X581">
            <v>141615000</v>
          </cell>
          <cell r="AK581">
            <v>11753702</v>
          </cell>
          <cell r="AL581">
            <v>468570</v>
          </cell>
        </row>
        <row r="582">
          <cell r="B582">
            <v>44384</v>
          </cell>
          <cell r="C582">
            <v>125289515000</v>
          </cell>
          <cell r="G582">
            <v>125289515000</v>
          </cell>
          <cell r="H582">
            <v>33828169</v>
          </cell>
          <cell r="I582">
            <v>16113749000</v>
          </cell>
          <cell r="J582">
            <v>65278500000</v>
          </cell>
          <cell r="K582">
            <v>81392249000</v>
          </cell>
          <cell r="M582">
            <v>14134330000</v>
          </cell>
          <cell r="N582">
            <v>10090150000</v>
          </cell>
          <cell r="O582">
            <v>24224480000</v>
          </cell>
          <cell r="P582">
            <v>2370400000</v>
          </cell>
          <cell r="R582">
            <v>2370400000</v>
          </cell>
          <cell r="S582">
            <v>573069000</v>
          </cell>
          <cell r="U582">
            <v>573069000</v>
          </cell>
          <cell r="V582">
            <v>94125000</v>
          </cell>
          <cell r="X582">
            <v>94125000</v>
          </cell>
          <cell r="AK582">
            <v>17161210</v>
          </cell>
          <cell r="AL582">
            <v>399480</v>
          </cell>
        </row>
        <row r="583">
          <cell r="B583">
            <v>44385</v>
          </cell>
          <cell r="C583">
            <v>10878855000</v>
          </cell>
          <cell r="D583">
            <v>8421655000</v>
          </cell>
          <cell r="G583">
            <v>19300510000</v>
          </cell>
          <cell r="H583">
            <v>5211138</v>
          </cell>
          <cell r="I583">
            <v>10547589000</v>
          </cell>
          <cell r="J583">
            <v>66291500000</v>
          </cell>
          <cell r="K583">
            <v>76839089000</v>
          </cell>
          <cell r="M583">
            <v>5382496000</v>
          </cell>
          <cell r="O583">
            <v>5382496000</v>
          </cell>
          <cell r="P583">
            <v>940583000</v>
          </cell>
          <cell r="R583">
            <v>940583000</v>
          </cell>
          <cell r="S583">
            <v>840055000</v>
          </cell>
          <cell r="U583">
            <v>840055000</v>
          </cell>
          <cell r="V583">
            <v>254137000</v>
          </cell>
          <cell r="X583">
            <v>254137000</v>
          </cell>
          <cell r="AK583">
            <v>13872675</v>
          </cell>
          <cell r="AL583">
            <v>459180</v>
          </cell>
        </row>
        <row r="584">
          <cell r="C584">
            <v>192889350000</v>
          </cell>
          <cell r="D584">
            <v>41467530000</v>
          </cell>
          <cell r="E584">
            <v>0</v>
          </cell>
          <cell r="F584">
            <v>0</v>
          </cell>
          <cell r="G584">
            <v>234356880000</v>
          </cell>
          <cell r="H584">
            <v>63276358</v>
          </cell>
          <cell r="I584">
            <v>61667634000</v>
          </cell>
          <cell r="J584">
            <v>183562850000</v>
          </cell>
          <cell r="K584">
            <v>245230484000</v>
          </cell>
          <cell r="L584">
            <v>0</v>
          </cell>
          <cell r="M584">
            <v>49378523000</v>
          </cell>
          <cell r="N584">
            <v>15443590000</v>
          </cell>
          <cell r="O584">
            <v>64822113000</v>
          </cell>
          <cell r="P584">
            <v>10869818000</v>
          </cell>
          <cell r="Q584">
            <v>14022000000</v>
          </cell>
          <cell r="R584">
            <v>24891818000</v>
          </cell>
          <cell r="S584">
            <v>4089867000</v>
          </cell>
          <cell r="T584">
            <v>0</v>
          </cell>
          <cell r="U584">
            <v>4089867000</v>
          </cell>
          <cell r="V584">
            <v>779703000</v>
          </cell>
          <cell r="W584">
            <v>0</v>
          </cell>
          <cell r="X584">
            <v>779703000</v>
          </cell>
          <cell r="AK584">
            <v>52037958</v>
          </cell>
          <cell r="AL584">
            <v>1710570</v>
          </cell>
        </row>
        <row r="585">
          <cell r="B585">
            <v>44386</v>
          </cell>
          <cell r="D585">
            <v>20989755000</v>
          </cell>
          <cell r="G585">
            <v>20989755000</v>
          </cell>
          <cell r="H585">
            <v>5667234</v>
          </cell>
          <cell r="I585">
            <v>12945798000</v>
          </cell>
          <cell r="J585">
            <v>25600000000</v>
          </cell>
          <cell r="K585">
            <v>38545798000</v>
          </cell>
          <cell r="M585">
            <v>7872496000</v>
          </cell>
          <cell r="N585">
            <v>2616000000</v>
          </cell>
          <cell r="O585">
            <v>10488496000</v>
          </cell>
          <cell r="P585">
            <v>1332195000</v>
          </cell>
          <cell r="R585">
            <v>1332195000</v>
          </cell>
          <cell r="S585">
            <v>824410000</v>
          </cell>
          <cell r="U585">
            <v>824410000</v>
          </cell>
          <cell r="V585">
            <v>147331000</v>
          </cell>
          <cell r="X585">
            <v>147331000</v>
          </cell>
          <cell r="AK585">
            <v>7576081</v>
          </cell>
          <cell r="AL585">
            <v>147090</v>
          </cell>
        </row>
        <row r="586">
          <cell r="B586">
            <v>44389</v>
          </cell>
          <cell r="C586">
            <v>118400180000</v>
          </cell>
          <cell r="D586">
            <v>13663410000</v>
          </cell>
          <cell r="G586">
            <v>132063590000</v>
          </cell>
          <cell r="H586">
            <v>35657169</v>
          </cell>
          <cell r="I586">
            <v>15194130000</v>
          </cell>
          <cell r="J586">
            <v>143876500000</v>
          </cell>
          <cell r="K586">
            <v>159070630000</v>
          </cell>
          <cell r="M586">
            <v>1253120000</v>
          </cell>
          <cell r="N586">
            <v>7915000000</v>
          </cell>
          <cell r="O586">
            <v>9168120000</v>
          </cell>
          <cell r="P586">
            <v>3284764000</v>
          </cell>
          <cell r="R586">
            <v>3284764000</v>
          </cell>
          <cell r="S586">
            <v>853729000</v>
          </cell>
          <cell r="U586">
            <v>853729000</v>
          </cell>
          <cell r="V586">
            <v>413022000</v>
          </cell>
          <cell r="X586">
            <v>413022000</v>
          </cell>
          <cell r="AK586">
            <v>29590337</v>
          </cell>
          <cell r="AL586">
            <v>602334</v>
          </cell>
        </row>
        <row r="587">
          <cell r="B587">
            <v>44390</v>
          </cell>
          <cell r="C587">
            <v>59099200000</v>
          </cell>
          <cell r="D587">
            <v>20274690000</v>
          </cell>
          <cell r="G587">
            <v>79373890000</v>
          </cell>
          <cell r="H587">
            <v>21430950</v>
          </cell>
          <cell r="I587">
            <v>9898531000</v>
          </cell>
          <cell r="J587">
            <v>48425000000</v>
          </cell>
          <cell r="K587">
            <v>58323531000</v>
          </cell>
          <cell r="M587">
            <v>271932000</v>
          </cell>
          <cell r="O587">
            <v>271932000</v>
          </cell>
          <cell r="P587">
            <v>2822964000</v>
          </cell>
          <cell r="R587">
            <v>2822964000</v>
          </cell>
          <cell r="S587">
            <v>684988000</v>
          </cell>
          <cell r="U587">
            <v>684988000</v>
          </cell>
          <cell r="V587">
            <v>36023000</v>
          </cell>
          <cell r="X587">
            <v>36023000</v>
          </cell>
          <cell r="AK587">
            <v>10197659</v>
          </cell>
          <cell r="AL587">
            <v>353490</v>
          </cell>
        </row>
        <row r="588">
          <cell r="B588">
            <v>44391</v>
          </cell>
          <cell r="C588">
            <v>36108830000</v>
          </cell>
          <cell r="D588">
            <v>11142735000</v>
          </cell>
          <cell r="G588">
            <v>47251565000</v>
          </cell>
          <cell r="H588">
            <v>12757923</v>
          </cell>
          <cell r="I588">
            <v>8640918000</v>
          </cell>
          <cell r="J588">
            <v>7348840000</v>
          </cell>
          <cell r="K588">
            <v>15989758000</v>
          </cell>
          <cell r="M588">
            <v>4465586000</v>
          </cell>
          <cell r="N588">
            <v>489240000</v>
          </cell>
          <cell r="O588">
            <v>4954826000</v>
          </cell>
          <cell r="P588">
            <v>2027633000</v>
          </cell>
          <cell r="R588">
            <v>2027633000</v>
          </cell>
          <cell r="S588">
            <v>650180000</v>
          </cell>
          <cell r="U588">
            <v>650180000</v>
          </cell>
          <cell r="V588">
            <v>381763000</v>
          </cell>
          <cell r="X588">
            <v>381763000</v>
          </cell>
          <cell r="AK588">
            <v>3156791</v>
          </cell>
          <cell r="AL588">
            <v>287190</v>
          </cell>
        </row>
        <row r="589">
          <cell r="B589">
            <v>44392</v>
          </cell>
          <cell r="C589">
            <v>170966215000</v>
          </cell>
          <cell r="D589">
            <v>8935395000</v>
          </cell>
          <cell r="G589">
            <v>179901610000</v>
          </cell>
          <cell r="H589">
            <v>48573435</v>
          </cell>
          <cell r="I589">
            <v>4799259000</v>
          </cell>
          <cell r="K589">
            <v>4799259000</v>
          </cell>
          <cell r="M589">
            <v>8824290000</v>
          </cell>
          <cell r="O589">
            <v>8824290000</v>
          </cell>
          <cell r="P589">
            <v>1089087000</v>
          </cell>
          <cell r="R589">
            <v>1089087000</v>
          </cell>
          <cell r="S589">
            <v>606998000</v>
          </cell>
          <cell r="U589">
            <v>606998000</v>
          </cell>
          <cell r="V589">
            <v>366736000</v>
          </cell>
          <cell r="X589">
            <v>366736000</v>
          </cell>
          <cell r="AK589">
            <v>1694128</v>
          </cell>
          <cell r="AL589">
            <v>189090</v>
          </cell>
        </row>
        <row r="590">
          <cell r="C590">
            <v>384574425000</v>
          </cell>
          <cell r="D590">
            <v>75005985000</v>
          </cell>
          <cell r="E590">
            <v>0</v>
          </cell>
          <cell r="F590">
            <v>0</v>
          </cell>
          <cell r="G590">
            <v>459580410000</v>
          </cell>
          <cell r="H590">
            <v>124086711</v>
          </cell>
          <cell r="I590">
            <v>51478636000</v>
          </cell>
          <cell r="J590">
            <v>225250340000</v>
          </cell>
          <cell r="K590">
            <v>276728976000</v>
          </cell>
          <cell r="L590">
            <v>0</v>
          </cell>
          <cell r="M590">
            <v>22687424000</v>
          </cell>
          <cell r="N590">
            <v>11020240000</v>
          </cell>
          <cell r="O590">
            <v>33707664000</v>
          </cell>
          <cell r="P590">
            <v>10556643000</v>
          </cell>
          <cell r="Q590">
            <v>0</v>
          </cell>
          <cell r="R590">
            <v>10556643000</v>
          </cell>
          <cell r="S590">
            <v>3620305000</v>
          </cell>
          <cell r="T590">
            <v>0</v>
          </cell>
          <cell r="U590">
            <v>3620305000</v>
          </cell>
          <cell r="V590">
            <v>1344875000</v>
          </cell>
          <cell r="W590">
            <v>0</v>
          </cell>
          <cell r="X590">
            <v>1344875000</v>
          </cell>
          <cell r="AK590">
            <v>52214996</v>
          </cell>
          <cell r="AL590">
            <v>1579194</v>
          </cell>
        </row>
        <row r="591">
          <cell r="B591">
            <v>44393</v>
          </cell>
          <cell r="C591">
            <v>0</v>
          </cell>
          <cell r="D591">
            <v>49598325000</v>
          </cell>
          <cell r="G591">
            <v>49598325000</v>
          </cell>
          <cell r="H591">
            <v>13391548</v>
          </cell>
          <cell r="I591">
            <v>2418000</v>
          </cell>
          <cell r="J591">
            <v>250428000000</v>
          </cell>
          <cell r="K591">
            <v>250430418000</v>
          </cell>
          <cell r="M591">
            <v>1720670000</v>
          </cell>
          <cell r="O591">
            <v>1720670000</v>
          </cell>
          <cell r="P591">
            <v>895708000</v>
          </cell>
          <cell r="R591">
            <v>895708000</v>
          </cell>
          <cell r="S591">
            <v>862867000</v>
          </cell>
          <cell r="U591">
            <v>862867000</v>
          </cell>
          <cell r="V591">
            <v>253881000</v>
          </cell>
          <cell r="X591">
            <v>253881000</v>
          </cell>
          <cell r="AK591">
            <v>45480479</v>
          </cell>
          <cell r="AL591">
            <v>324840</v>
          </cell>
        </row>
        <row r="592">
          <cell r="B592">
            <v>44396</v>
          </cell>
          <cell r="C592">
            <v>9352950000</v>
          </cell>
          <cell r="D592">
            <v>22984805000</v>
          </cell>
          <cell r="G592">
            <v>32337755000</v>
          </cell>
          <cell r="H592">
            <v>8731194</v>
          </cell>
          <cell r="I592">
            <v>4876786000</v>
          </cell>
          <cell r="K592">
            <v>4876786000</v>
          </cell>
          <cell r="M592">
            <v>15845363000</v>
          </cell>
          <cell r="O592">
            <v>15845363000</v>
          </cell>
          <cell r="P592">
            <v>919409000</v>
          </cell>
          <cell r="R592">
            <v>919409000</v>
          </cell>
          <cell r="S592">
            <v>769688000</v>
          </cell>
          <cell r="U592">
            <v>769688000</v>
          </cell>
          <cell r="V592">
            <v>433942000</v>
          </cell>
          <cell r="X592">
            <v>433942000</v>
          </cell>
          <cell r="AK592">
            <v>2467280</v>
          </cell>
          <cell r="AL592">
            <v>156390</v>
          </cell>
        </row>
        <row r="593">
          <cell r="B593">
            <v>44397</v>
          </cell>
          <cell r="C593">
            <v>17102170000</v>
          </cell>
          <cell r="D593">
            <v>25113940000</v>
          </cell>
          <cell r="G593">
            <v>42216110000</v>
          </cell>
          <cell r="H593">
            <v>11398350</v>
          </cell>
          <cell r="I593">
            <v>11041913000</v>
          </cell>
          <cell r="J593">
            <v>11504550000</v>
          </cell>
          <cell r="K593">
            <v>22546463000</v>
          </cell>
          <cell r="M593">
            <v>9661053000</v>
          </cell>
          <cell r="O593">
            <v>9661053000</v>
          </cell>
          <cell r="P593">
            <v>1353293000</v>
          </cell>
          <cell r="R593">
            <v>1353293000</v>
          </cell>
          <cell r="S593">
            <v>574255000</v>
          </cell>
          <cell r="U593">
            <v>574255000</v>
          </cell>
          <cell r="V593">
            <v>60040000</v>
          </cell>
          <cell r="X593">
            <v>60040000</v>
          </cell>
          <cell r="AK593">
            <v>4521399</v>
          </cell>
          <cell r="AL593">
            <v>244800</v>
          </cell>
        </row>
        <row r="594">
          <cell r="B594">
            <v>44398</v>
          </cell>
          <cell r="C594">
            <v>41480935000</v>
          </cell>
          <cell r="D594">
            <v>7587825000</v>
          </cell>
          <cell r="G594">
            <v>49068760000</v>
          </cell>
          <cell r="H594">
            <v>13248565</v>
          </cell>
          <cell r="I594">
            <v>4276529000</v>
          </cell>
          <cell r="K594">
            <v>4276529000</v>
          </cell>
          <cell r="M594">
            <v>12711645000</v>
          </cell>
          <cell r="O594">
            <v>12711645000</v>
          </cell>
          <cell r="P594">
            <v>788626000</v>
          </cell>
          <cell r="R594">
            <v>788626000</v>
          </cell>
          <cell r="S594">
            <v>574284000</v>
          </cell>
          <cell r="U594">
            <v>574284000</v>
          </cell>
          <cell r="V594">
            <v>129930000</v>
          </cell>
          <cell r="X594">
            <v>129930000</v>
          </cell>
          <cell r="AK594">
            <v>1995950</v>
          </cell>
          <cell r="AL594">
            <v>420690</v>
          </cell>
        </row>
        <row r="595">
          <cell r="B595">
            <v>44399</v>
          </cell>
          <cell r="C595">
            <v>34623795000</v>
          </cell>
          <cell r="G595">
            <v>34623795000</v>
          </cell>
          <cell r="H595">
            <v>9348425</v>
          </cell>
          <cell r="I595">
            <v>14028603000</v>
          </cell>
          <cell r="K595">
            <v>14028603000</v>
          </cell>
          <cell r="M595">
            <v>12991428000</v>
          </cell>
          <cell r="O595">
            <v>12991428000</v>
          </cell>
          <cell r="P595">
            <v>722133000</v>
          </cell>
          <cell r="R595">
            <v>722133000</v>
          </cell>
          <cell r="S595">
            <v>785546000</v>
          </cell>
          <cell r="U595">
            <v>785546000</v>
          </cell>
          <cell r="V595">
            <v>364210000</v>
          </cell>
          <cell r="X595">
            <v>364210000</v>
          </cell>
          <cell r="AK595">
            <v>3120327</v>
          </cell>
          <cell r="AL595">
            <v>88830</v>
          </cell>
        </row>
        <row r="596">
          <cell r="C596">
            <v>102559850000</v>
          </cell>
          <cell r="D596">
            <v>105284895000</v>
          </cell>
          <cell r="E596">
            <v>0</v>
          </cell>
          <cell r="F596">
            <v>0</v>
          </cell>
          <cell r="G596">
            <v>207844745000</v>
          </cell>
          <cell r="H596">
            <v>56118082</v>
          </cell>
          <cell r="I596">
            <v>34226249000</v>
          </cell>
          <cell r="J596">
            <v>261932550000</v>
          </cell>
          <cell r="K596">
            <v>296158799000</v>
          </cell>
          <cell r="L596">
            <v>0</v>
          </cell>
          <cell r="M596">
            <v>52930159000</v>
          </cell>
          <cell r="N596">
            <v>0</v>
          </cell>
          <cell r="O596">
            <v>52930159000</v>
          </cell>
          <cell r="P596">
            <v>4679169000</v>
          </cell>
          <cell r="Q596">
            <v>0</v>
          </cell>
          <cell r="R596">
            <v>4679169000</v>
          </cell>
          <cell r="S596">
            <v>3566640000</v>
          </cell>
          <cell r="T596">
            <v>0</v>
          </cell>
          <cell r="U596">
            <v>3566640000</v>
          </cell>
          <cell r="V596">
            <v>1242003000</v>
          </cell>
          <cell r="W596">
            <v>0</v>
          </cell>
          <cell r="X596">
            <v>1242003000</v>
          </cell>
          <cell r="AK596">
            <v>57585435</v>
          </cell>
          <cell r="AL596">
            <v>1235550</v>
          </cell>
        </row>
        <row r="597">
          <cell r="B597">
            <v>44400</v>
          </cell>
          <cell r="C597">
            <v>36850290000</v>
          </cell>
          <cell r="G597">
            <v>36850290000</v>
          </cell>
          <cell r="H597">
            <v>9949578</v>
          </cell>
          <cell r="I597">
            <v>2586764000</v>
          </cell>
          <cell r="K597">
            <v>2586764000</v>
          </cell>
          <cell r="M597">
            <v>12995586000</v>
          </cell>
          <cell r="O597">
            <v>12995586000</v>
          </cell>
          <cell r="P597">
            <v>1433146000</v>
          </cell>
          <cell r="R597">
            <v>1433146000</v>
          </cell>
          <cell r="S597">
            <v>694723000</v>
          </cell>
          <cell r="U597">
            <v>694723000</v>
          </cell>
          <cell r="V597">
            <v>134588000</v>
          </cell>
          <cell r="X597">
            <v>134588000</v>
          </cell>
          <cell r="AK597">
            <v>1927239</v>
          </cell>
          <cell r="AL597">
            <v>227910</v>
          </cell>
        </row>
        <row r="598">
          <cell r="B598">
            <v>44403</v>
          </cell>
          <cell r="C598">
            <v>45841200000</v>
          </cell>
          <cell r="D598">
            <v>4497240000</v>
          </cell>
          <cell r="G598">
            <v>50338440000</v>
          </cell>
          <cell r="H598">
            <v>13591379</v>
          </cell>
          <cell r="I598">
            <v>10854926000</v>
          </cell>
          <cell r="K598">
            <v>10854926000</v>
          </cell>
          <cell r="M598">
            <v>18538855000</v>
          </cell>
          <cell r="O598">
            <v>18538855000</v>
          </cell>
          <cell r="P598">
            <v>2941379000</v>
          </cell>
          <cell r="R598">
            <v>2941379000</v>
          </cell>
          <cell r="S598">
            <v>1201069000</v>
          </cell>
          <cell r="U598">
            <v>1201069000</v>
          </cell>
          <cell r="V598">
            <v>145004000</v>
          </cell>
          <cell r="X598">
            <v>145004000</v>
          </cell>
          <cell r="AK598">
            <v>3637573</v>
          </cell>
          <cell r="AL598">
            <v>384090</v>
          </cell>
        </row>
        <row r="599">
          <cell r="B599">
            <v>44404</v>
          </cell>
          <cell r="C599">
            <v>27240665000</v>
          </cell>
          <cell r="G599">
            <v>27240665000</v>
          </cell>
          <cell r="H599">
            <v>7354980</v>
          </cell>
          <cell r="I599">
            <v>18717962000</v>
          </cell>
          <cell r="J599">
            <v>4765600000</v>
          </cell>
          <cell r="K599">
            <v>23483562000</v>
          </cell>
          <cell r="M599">
            <v>4434369000</v>
          </cell>
          <cell r="O599">
            <v>4434369000</v>
          </cell>
          <cell r="P599">
            <v>1620501000</v>
          </cell>
          <cell r="R599">
            <v>1620501000</v>
          </cell>
          <cell r="S599">
            <v>602569000</v>
          </cell>
          <cell r="U599">
            <v>602569000</v>
          </cell>
          <cell r="V599">
            <v>1144927000</v>
          </cell>
          <cell r="X599">
            <v>1144927000</v>
          </cell>
          <cell r="AK599">
            <v>3722003</v>
          </cell>
          <cell r="AL599">
            <v>389070</v>
          </cell>
        </row>
        <row r="600">
          <cell r="B600">
            <v>44405</v>
          </cell>
          <cell r="C600">
            <v>15801495000</v>
          </cell>
          <cell r="G600">
            <v>15801495000</v>
          </cell>
          <cell r="H600">
            <v>4266404</v>
          </cell>
          <cell r="I600">
            <v>7834726000</v>
          </cell>
          <cell r="K600">
            <v>7834726000</v>
          </cell>
          <cell r="M600">
            <v>13254755000</v>
          </cell>
          <cell r="O600">
            <v>13254755000</v>
          </cell>
          <cell r="P600">
            <v>4342950000</v>
          </cell>
          <cell r="R600">
            <v>4342950000</v>
          </cell>
          <cell r="S600">
            <v>535835000</v>
          </cell>
          <cell r="U600">
            <v>535835000</v>
          </cell>
          <cell r="V600">
            <v>72102000</v>
          </cell>
          <cell r="X600">
            <v>72102000</v>
          </cell>
          <cell r="AK600">
            <v>2812360</v>
          </cell>
          <cell r="AL600">
            <v>149490</v>
          </cell>
        </row>
        <row r="601">
          <cell r="B601">
            <v>44406</v>
          </cell>
          <cell r="C601">
            <v>1592455000</v>
          </cell>
          <cell r="D601">
            <v>22741335000</v>
          </cell>
          <cell r="G601">
            <v>24333790000</v>
          </cell>
          <cell r="H601">
            <v>6570123</v>
          </cell>
          <cell r="I601">
            <v>8478071000</v>
          </cell>
          <cell r="J601">
            <v>81972750000</v>
          </cell>
          <cell r="K601">
            <v>90450821000</v>
          </cell>
          <cell r="M601">
            <v>29937100000</v>
          </cell>
          <cell r="O601">
            <v>29937100000</v>
          </cell>
          <cell r="P601">
            <v>460596000</v>
          </cell>
          <cell r="R601">
            <v>460596000</v>
          </cell>
          <cell r="S601">
            <v>547969000</v>
          </cell>
          <cell r="U601">
            <v>547969000</v>
          </cell>
          <cell r="V601">
            <v>230449000</v>
          </cell>
          <cell r="X601">
            <v>230449000</v>
          </cell>
          <cell r="AK601">
            <v>19037747</v>
          </cell>
          <cell r="AL601">
            <v>287490</v>
          </cell>
        </row>
        <row r="602">
          <cell r="C602">
            <v>127326105000</v>
          </cell>
          <cell r="D602">
            <v>27238575000</v>
          </cell>
          <cell r="E602">
            <v>0</v>
          </cell>
          <cell r="F602">
            <v>0</v>
          </cell>
          <cell r="G602">
            <v>154564680000</v>
          </cell>
          <cell r="H602">
            <v>41732464</v>
          </cell>
          <cell r="I602">
            <v>48472449000</v>
          </cell>
          <cell r="J602">
            <v>86738350000</v>
          </cell>
          <cell r="K602">
            <v>135210799000</v>
          </cell>
          <cell r="L602">
            <v>0</v>
          </cell>
          <cell r="M602">
            <v>79160665000</v>
          </cell>
          <cell r="N602">
            <v>0</v>
          </cell>
          <cell r="O602">
            <v>79160665000</v>
          </cell>
          <cell r="P602">
            <v>10798572000</v>
          </cell>
          <cell r="Q602">
            <v>0</v>
          </cell>
          <cell r="R602">
            <v>10798572000</v>
          </cell>
          <cell r="S602">
            <v>3582165000</v>
          </cell>
          <cell r="T602">
            <v>0</v>
          </cell>
          <cell r="U602">
            <v>3582165000</v>
          </cell>
          <cell r="V602">
            <v>1727070000</v>
          </cell>
          <cell r="W602">
            <v>0</v>
          </cell>
          <cell r="X602">
            <v>1727070000</v>
          </cell>
          <cell r="AK602">
            <v>31136922</v>
          </cell>
          <cell r="AL602">
            <v>1438050</v>
          </cell>
        </row>
        <row r="603">
          <cell r="B603">
            <v>44407</v>
          </cell>
          <cell r="C603">
            <v>20984680000</v>
          </cell>
          <cell r="G603">
            <v>20984680000</v>
          </cell>
          <cell r="H603">
            <v>5665864</v>
          </cell>
          <cell r="I603">
            <v>40100940000</v>
          </cell>
          <cell r="J603">
            <v>0</v>
          </cell>
          <cell r="K603">
            <v>40100940000</v>
          </cell>
          <cell r="M603">
            <v>16158795000</v>
          </cell>
          <cell r="N603">
            <v>0</v>
          </cell>
          <cell r="O603">
            <v>16158795000</v>
          </cell>
          <cell r="P603">
            <v>1315587000</v>
          </cell>
          <cell r="R603">
            <v>1315587000</v>
          </cell>
          <cell r="S603">
            <v>866749000</v>
          </cell>
          <cell r="U603">
            <v>866749000</v>
          </cell>
          <cell r="V603">
            <v>912269000</v>
          </cell>
          <cell r="X603">
            <v>912269000</v>
          </cell>
          <cell r="AK603">
            <v>6410269</v>
          </cell>
          <cell r="AL603">
            <v>655230</v>
          </cell>
        </row>
        <row r="604">
          <cell r="B604">
            <v>44410</v>
          </cell>
          <cell r="C604">
            <v>3149750000</v>
          </cell>
          <cell r="G604">
            <v>3149750000</v>
          </cell>
          <cell r="H604">
            <v>850433</v>
          </cell>
          <cell r="I604">
            <v>28314629000</v>
          </cell>
          <cell r="K604">
            <v>28314629000</v>
          </cell>
          <cell r="M604">
            <v>2571978000</v>
          </cell>
          <cell r="O604">
            <v>2571978000</v>
          </cell>
          <cell r="P604">
            <v>2261985000</v>
          </cell>
          <cell r="R604">
            <v>2261985000</v>
          </cell>
          <cell r="S604">
            <v>3495472000</v>
          </cell>
          <cell r="U604">
            <v>3495472000</v>
          </cell>
          <cell r="V604">
            <v>127694000</v>
          </cell>
          <cell r="X604">
            <v>127694000</v>
          </cell>
          <cell r="AK604">
            <v>3971350</v>
          </cell>
          <cell r="AL604">
            <v>415350</v>
          </cell>
        </row>
        <row r="605">
          <cell r="B605">
            <v>44411</v>
          </cell>
          <cell r="C605">
            <v>0</v>
          </cell>
          <cell r="G605">
            <v>0</v>
          </cell>
          <cell r="H605">
            <v>0</v>
          </cell>
          <cell r="I605">
            <v>28234798000</v>
          </cell>
          <cell r="K605">
            <v>28234798000</v>
          </cell>
          <cell r="M605">
            <v>5574949000</v>
          </cell>
          <cell r="O605">
            <v>5574949000</v>
          </cell>
          <cell r="P605">
            <v>2081361000</v>
          </cell>
          <cell r="R605">
            <v>2081361000</v>
          </cell>
          <cell r="S605">
            <v>1439024000</v>
          </cell>
          <cell r="U605">
            <v>1439024000</v>
          </cell>
          <cell r="V605">
            <v>891237000</v>
          </cell>
          <cell r="X605">
            <v>891237000</v>
          </cell>
          <cell r="AK605">
            <v>4127908</v>
          </cell>
          <cell r="AL605">
            <v>221250</v>
          </cell>
        </row>
        <row r="606">
          <cell r="B606">
            <v>44412</v>
          </cell>
          <cell r="C606">
            <v>6417770000</v>
          </cell>
          <cell r="G606">
            <v>6417770000</v>
          </cell>
          <cell r="H606">
            <v>1732798</v>
          </cell>
          <cell r="I606">
            <v>36056665000</v>
          </cell>
          <cell r="K606">
            <v>36056665000</v>
          </cell>
          <cell r="M606">
            <v>20566590000</v>
          </cell>
          <cell r="O606">
            <v>20566590000</v>
          </cell>
          <cell r="P606">
            <v>1939064000</v>
          </cell>
          <cell r="R606">
            <v>1939064000</v>
          </cell>
          <cell r="S606">
            <v>1446472000</v>
          </cell>
          <cell r="U606">
            <v>1446472000</v>
          </cell>
          <cell r="V606">
            <v>394006000</v>
          </cell>
          <cell r="X606">
            <v>394006000</v>
          </cell>
          <cell r="AK606">
            <v>6523502</v>
          </cell>
          <cell r="AL606">
            <v>327000</v>
          </cell>
        </row>
        <row r="607">
          <cell r="B607">
            <v>44413</v>
          </cell>
          <cell r="C607">
            <v>40905875000</v>
          </cell>
          <cell r="G607">
            <v>40905875000</v>
          </cell>
          <cell r="H607">
            <v>11044586</v>
          </cell>
          <cell r="I607">
            <v>21897198000</v>
          </cell>
          <cell r="K607">
            <v>21897198000</v>
          </cell>
          <cell r="M607">
            <v>11544995000</v>
          </cell>
          <cell r="O607">
            <v>11544995000</v>
          </cell>
          <cell r="P607">
            <v>822353000</v>
          </cell>
          <cell r="R607">
            <v>822353000</v>
          </cell>
          <cell r="S607">
            <v>1627415000</v>
          </cell>
          <cell r="U607">
            <v>1627415000</v>
          </cell>
          <cell r="V607">
            <v>116775000</v>
          </cell>
          <cell r="X607">
            <v>116775000</v>
          </cell>
          <cell r="AK607">
            <v>3888943</v>
          </cell>
          <cell r="AL607">
            <v>319320</v>
          </cell>
        </row>
        <row r="608">
          <cell r="C608">
            <v>71458075000</v>
          </cell>
          <cell r="D608">
            <v>0</v>
          </cell>
          <cell r="E608">
            <v>0</v>
          </cell>
          <cell r="F608">
            <v>0</v>
          </cell>
          <cell r="G608">
            <v>71458075000</v>
          </cell>
          <cell r="H608">
            <v>19293681</v>
          </cell>
          <cell r="I608">
            <v>154604230000</v>
          </cell>
          <cell r="J608">
            <v>0</v>
          </cell>
          <cell r="K608">
            <v>154604230000</v>
          </cell>
          <cell r="L608">
            <v>0</v>
          </cell>
          <cell r="M608">
            <v>56417307000</v>
          </cell>
          <cell r="N608">
            <v>0</v>
          </cell>
          <cell r="O608">
            <v>56417307000</v>
          </cell>
          <cell r="P608">
            <v>8420350000</v>
          </cell>
          <cell r="Q608">
            <v>0</v>
          </cell>
          <cell r="R608">
            <v>8420350000</v>
          </cell>
          <cell r="S608">
            <v>8875132000</v>
          </cell>
          <cell r="T608">
            <v>0</v>
          </cell>
          <cell r="U608">
            <v>8875132000</v>
          </cell>
          <cell r="V608">
            <v>2441981000</v>
          </cell>
          <cell r="W608">
            <v>0</v>
          </cell>
          <cell r="X608">
            <v>2441981000</v>
          </cell>
          <cell r="AK608">
            <v>24921972</v>
          </cell>
          <cell r="AL608">
            <v>1938150</v>
          </cell>
        </row>
        <row r="609">
          <cell r="B609">
            <v>44414</v>
          </cell>
          <cell r="C609">
            <v>23203487000</v>
          </cell>
          <cell r="G609">
            <v>23203487000</v>
          </cell>
          <cell r="H609">
            <v>6264941</v>
          </cell>
          <cell r="I609">
            <v>10868596000</v>
          </cell>
          <cell r="K609">
            <v>10868596000</v>
          </cell>
          <cell r="M609">
            <v>13478238000</v>
          </cell>
          <cell r="O609">
            <v>13478238000</v>
          </cell>
          <cell r="P609">
            <v>3369101000</v>
          </cell>
          <cell r="R609">
            <v>3369101000</v>
          </cell>
          <cell r="S609">
            <v>1909030000</v>
          </cell>
          <cell r="U609">
            <v>1909030000</v>
          </cell>
          <cell r="V609">
            <v>199186000</v>
          </cell>
          <cell r="X609">
            <v>199186000</v>
          </cell>
          <cell r="AK609">
            <v>3221008</v>
          </cell>
          <cell r="AL609">
            <v>215130</v>
          </cell>
        </row>
        <row r="610">
          <cell r="B610">
            <v>44417</v>
          </cell>
          <cell r="C610">
            <v>12839520000</v>
          </cell>
          <cell r="G610">
            <v>12839520000</v>
          </cell>
          <cell r="H610">
            <v>3466670</v>
          </cell>
          <cell r="I610">
            <v>19359312000</v>
          </cell>
          <cell r="K610">
            <v>19359312000</v>
          </cell>
          <cell r="M610">
            <v>5162761000</v>
          </cell>
          <cell r="O610">
            <v>5162761000</v>
          </cell>
          <cell r="P610">
            <v>1926896000</v>
          </cell>
          <cell r="R610">
            <v>1926896000</v>
          </cell>
          <cell r="S610">
            <v>2972623000</v>
          </cell>
          <cell r="U610">
            <v>2972623000</v>
          </cell>
          <cell r="V610">
            <v>743727000</v>
          </cell>
          <cell r="X610">
            <v>743727000</v>
          </cell>
          <cell r="AK610">
            <v>3257854</v>
          </cell>
          <cell r="AL610">
            <v>289710</v>
          </cell>
        </row>
        <row r="611">
          <cell r="B611">
            <v>44418</v>
          </cell>
          <cell r="C611">
            <v>90970025000</v>
          </cell>
          <cell r="D611">
            <v>17122445000</v>
          </cell>
          <cell r="E611">
            <v>2482840000</v>
          </cell>
          <cell r="G611">
            <v>110575310000</v>
          </cell>
          <cell r="H611">
            <v>29855334</v>
          </cell>
          <cell r="I611">
            <v>12165638000</v>
          </cell>
          <cell r="K611">
            <v>12165638000</v>
          </cell>
          <cell r="M611">
            <v>6220887000</v>
          </cell>
          <cell r="O611">
            <v>6220887000</v>
          </cell>
          <cell r="P611">
            <v>559366000</v>
          </cell>
          <cell r="R611">
            <v>559366000</v>
          </cell>
          <cell r="S611">
            <v>1282496000</v>
          </cell>
          <cell r="U611">
            <v>1282496000</v>
          </cell>
          <cell r="V611">
            <v>514450000</v>
          </cell>
          <cell r="X611">
            <v>514450000</v>
          </cell>
          <cell r="AK611">
            <v>2240226</v>
          </cell>
          <cell r="AL611">
            <v>361260</v>
          </cell>
        </row>
        <row r="612">
          <cell r="B612">
            <v>44419</v>
          </cell>
          <cell r="C612">
            <v>20265830000</v>
          </cell>
          <cell r="E612">
            <v>3136510000</v>
          </cell>
          <cell r="G612">
            <v>23402340000</v>
          </cell>
          <cell r="H612">
            <v>6318632</v>
          </cell>
          <cell r="I612">
            <v>2103200000</v>
          </cell>
          <cell r="K612">
            <v>2103200000</v>
          </cell>
          <cell r="M612">
            <v>7467520000</v>
          </cell>
          <cell r="O612">
            <v>7467520000</v>
          </cell>
          <cell r="P612">
            <v>426947000</v>
          </cell>
          <cell r="R612">
            <v>426947000</v>
          </cell>
          <cell r="S612">
            <v>937750000</v>
          </cell>
          <cell r="U612">
            <v>937750000</v>
          </cell>
          <cell r="V612">
            <v>1381778000</v>
          </cell>
          <cell r="X612">
            <v>1381778000</v>
          </cell>
          <cell r="AK612">
            <v>1330257</v>
          </cell>
          <cell r="AL612">
            <v>237210</v>
          </cell>
        </row>
        <row r="613">
          <cell r="B613">
            <v>44420</v>
          </cell>
          <cell r="C613">
            <v>21732770000</v>
          </cell>
          <cell r="G613">
            <v>21732770000</v>
          </cell>
          <cell r="H613">
            <v>5867848</v>
          </cell>
          <cell r="I613">
            <v>11332714000</v>
          </cell>
          <cell r="J613">
            <v>4981800000</v>
          </cell>
          <cell r="K613">
            <v>16314514000</v>
          </cell>
          <cell r="M613">
            <v>15719423000</v>
          </cell>
          <cell r="O613">
            <v>15719423000</v>
          </cell>
          <cell r="P613">
            <v>2249706000</v>
          </cell>
          <cell r="R613">
            <v>2249706000</v>
          </cell>
          <cell r="S613">
            <v>1312772000</v>
          </cell>
          <cell r="U613">
            <v>1312772000</v>
          </cell>
          <cell r="V613">
            <v>607725000</v>
          </cell>
          <cell r="X613">
            <v>607725000</v>
          </cell>
          <cell r="AK613">
            <v>4268737</v>
          </cell>
          <cell r="AL613">
            <v>352230</v>
          </cell>
        </row>
        <row r="614">
          <cell r="C614">
            <v>169011632000</v>
          </cell>
          <cell r="D614">
            <v>17122445000</v>
          </cell>
          <cell r="E614">
            <v>5619350000</v>
          </cell>
          <cell r="F614">
            <v>0</v>
          </cell>
          <cell r="G614">
            <v>191753427000</v>
          </cell>
          <cell r="H614">
            <v>51773425</v>
          </cell>
          <cell r="I614">
            <v>55829460000</v>
          </cell>
          <cell r="J614">
            <v>4981800000</v>
          </cell>
          <cell r="K614">
            <v>60811260000</v>
          </cell>
          <cell r="L614">
            <v>0</v>
          </cell>
          <cell r="M614">
            <v>48048829000</v>
          </cell>
          <cell r="N614">
            <v>0</v>
          </cell>
          <cell r="O614">
            <v>48048829000</v>
          </cell>
          <cell r="P614">
            <v>8532016000</v>
          </cell>
          <cell r="Q614">
            <v>0</v>
          </cell>
          <cell r="R614">
            <v>8497670000</v>
          </cell>
          <cell r="S614">
            <v>8414671000</v>
          </cell>
          <cell r="T614">
            <v>0</v>
          </cell>
          <cell r="U614">
            <v>8414671000</v>
          </cell>
          <cell r="V614">
            <v>3446866000</v>
          </cell>
          <cell r="W614">
            <v>0</v>
          </cell>
          <cell r="X614">
            <v>3446866000</v>
          </cell>
          <cell r="AK614">
            <v>14318082</v>
          </cell>
          <cell r="AL614">
            <v>1455540</v>
          </cell>
        </row>
        <row r="615">
          <cell r="B615">
            <v>44421</v>
          </cell>
          <cell r="C615">
            <v>50124865000</v>
          </cell>
          <cell r="G615">
            <v>50124865000</v>
          </cell>
          <cell r="H615">
            <v>13533714</v>
          </cell>
          <cell r="I615">
            <v>959698000</v>
          </cell>
          <cell r="K615">
            <v>959698000</v>
          </cell>
          <cell r="M615">
            <v>11315160000</v>
          </cell>
          <cell r="O615">
            <v>11315160000</v>
          </cell>
          <cell r="P615">
            <v>2162452000</v>
          </cell>
          <cell r="R615">
            <v>2162452000</v>
          </cell>
          <cell r="S615">
            <v>1033484000</v>
          </cell>
          <cell r="U615">
            <v>1033484000</v>
          </cell>
          <cell r="V615">
            <v>290227000</v>
          </cell>
          <cell r="X615">
            <v>290227000</v>
          </cell>
          <cell r="AK615">
            <v>1702190</v>
          </cell>
          <cell r="AL615">
            <v>285870</v>
          </cell>
        </row>
        <row r="616">
          <cell r="B616">
            <v>44424</v>
          </cell>
          <cell r="C616">
            <v>11083930000</v>
          </cell>
          <cell r="F616">
            <v>3199000000</v>
          </cell>
          <cell r="G616">
            <v>14282930000</v>
          </cell>
          <cell r="H616">
            <v>3856391</v>
          </cell>
          <cell r="I616">
            <v>11878627000</v>
          </cell>
          <cell r="K616">
            <v>11878627000</v>
          </cell>
          <cell r="M616">
            <v>13262722000</v>
          </cell>
          <cell r="O616">
            <v>13262722000</v>
          </cell>
          <cell r="P616">
            <v>3417984000</v>
          </cell>
          <cell r="R616">
            <v>3417984000</v>
          </cell>
          <cell r="S616">
            <v>2115881000</v>
          </cell>
          <cell r="U616">
            <v>2115881000</v>
          </cell>
          <cell r="V616">
            <v>454873000</v>
          </cell>
          <cell r="X616">
            <v>454873000</v>
          </cell>
          <cell r="AK616">
            <v>3362049</v>
          </cell>
          <cell r="AL616">
            <v>389190</v>
          </cell>
        </row>
        <row r="617">
          <cell r="B617">
            <v>44425</v>
          </cell>
          <cell r="C617">
            <v>10882185000</v>
          </cell>
          <cell r="G617">
            <v>10882185000</v>
          </cell>
          <cell r="H617">
            <v>2938190</v>
          </cell>
          <cell r="I617">
            <v>546800000</v>
          </cell>
          <cell r="J617">
            <v>12645000000</v>
          </cell>
          <cell r="K617">
            <v>13191800000</v>
          </cell>
          <cell r="M617">
            <v>14893263000</v>
          </cell>
          <cell r="O617">
            <v>14893263000</v>
          </cell>
          <cell r="P617">
            <v>1199648000</v>
          </cell>
          <cell r="R617">
            <v>1199648000</v>
          </cell>
          <cell r="S617">
            <v>1227504000</v>
          </cell>
          <cell r="U617">
            <v>1227504000</v>
          </cell>
          <cell r="V617">
            <v>948410000</v>
          </cell>
          <cell r="X617">
            <v>948410000</v>
          </cell>
          <cell r="AK617">
            <v>4308188</v>
          </cell>
          <cell r="AL617">
            <v>194820</v>
          </cell>
        </row>
        <row r="618">
          <cell r="B618">
            <v>44426</v>
          </cell>
          <cell r="C618">
            <v>22257995000</v>
          </cell>
          <cell r="G618">
            <v>22257995000</v>
          </cell>
          <cell r="H618">
            <v>6009659</v>
          </cell>
          <cell r="I618">
            <v>5471866000</v>
          </cell>
          <cell r="K618">
            <v>5471866000</v>
          </cell>
          <cell r="M618">
            <v>23145254000</v>
          </cell>
          <cell r="O618">
            <v>23145254000</v>
          </cell>
          <cell r="P618">
            <v>668100000</v>
          </cell>
          <cell r="R618">
            <v>668100000</v>
          </cell>
          <cell r="S618">
            <v>1267164000</v>
          </cell>
          <cell r="U618">
            <v>1267164000</v>
          </cell>
          <cell r="V618">
            <v>496275000</v>
          </cell>
          <cell r="X618">
            <v>496275000</v>
          </cell>
          <cell r="AK618">
            <v>3353255</v>
          </cell>
          <cell r="AL618">
            <v>165600</v>
          </cell>
        </row>
        <row r="619">
          <cell r="B619">
            <v>44427</v>
          </cell>
          <cell r="C619">
            <v>55015370000</v>
          </cell>
          <cell r="D619">
            <v>7111250000</v>
          </cell>
          <cell r="G619">
            <v>62126620000</v>
          </cell>
          <cell r="H619">
            <v>16774187</v>
          </cell>
          <cell r="I619">
            <v>990923000</v>
          </cell>
          <cell r="K619">
            <v>990923000</v>
          </cell>
          <cell r="M619">
            <v>906696000</v>
          </cell>
          <cell r="O619">
            <v>906696000</v>
          </cell>
          <cell r="P619">
            <v>4420265000</v>
          </cell>
          <cell r="R619">
            <v>4420265000</v>
          </cell>
          <cell r="S619">
            <v>1576021000</v>
          </cell>
          <cell r="U619">
            <v>1576021000</v>
          </cell>
          <cell r="V619">
            <v>1106849000</v>
          </cell>
          <cell r="X619">
            <v>1106849000</v>
          </cell>
          <cell r="AK619">
            <v>968375</v>
          </cell>
          <cell r="AL619">
            <v>291480</v>
          </cell>
        </row>
        <row r="620">
          <cell r="C620">
            <v>149364345000</v>
          </cell>
          <cell r="D620">
            <v>7111250000</v>
          </cell>
          <cell r="E620">
            <v>0</v>
          </cell>
          <cell r="F620">
            <v>3199000000</v>
          </cell>
          <cell r="G620">
            <v>159674595000</v>
          </cell>
          <cell r="H620">
            <v>43112141</v>
          </cell>
          <cell r="I620">
            <v>19847914000</v>
          </cell>
          <cell r="J620">
            <v>12645000000</v>
          </cell>
          <cell r="K620">
            <v>32492914000</v>
          </cell>
          <cell r="L620">
            <v>0</v>
          </cell>
          <cell r="M620">
            <v>63523095000</v>
          </cell>
          <cell r="N620">
            <v>0</v>
          </cell>
          <cell r="O620">
            <v>63523095000</v>
          </cell>
          <cell r="P620">
            <v>11868449000</v>
          </cell>
          <cell r="Q620">
            <v>0</v>
          </cell>
          <cell r="R620">
            <v>11868449000</v>
          </cell>
          <cell r="S620">
            <v>7220054000</v>
          </cell>
          <cell r="T620">
            <v>0</v>
          </cell>
          <cell r="U620">
            <v>7220054000</v>
          </cell>
          <cell r="V620">
            <v>3296634000</v>
          </cell>
          <cell r="W620">
            <v>0</v>
          </cell>
          <cell r="X620">
            <v>3296634000</v>
          </cell>
          <cell r="AK620">
            <v>13694057</v>
          </cell>
          <cell r="AL620">
            <v>1326960</v>
          </cell>
        </row>
        <row r="621">
          <cell r="B621">
            <v>44428</v>
          </cell>
          <cell r="C621">
            <v>36653815000</v>
          </cell>
          <cell r="G621">
            <v>36653815000</v>
          </cell>
          <cell r="H621">
            <v>9896530</v>
          </cell>
          <cell r="I621">
            <v>9037110000</v>
          </cell>
          <cell r="J621">
            <v>63359000000</v>
          </cell>
          <cell r="K621">
            <v>72396110000</v>
          </cell>
          <cell r="M621">
            <v>21268453000</v>
          </cell>
          <cell r="O621">
            <v>21268453000</v>
          </cell>
          <cell r="P621">
            <v>7220242000</v>
          </cell>
          <cell r="R621">
            <v>7220242000</v>
          </cell>
          <cell r="S621">
            <v>1206422000</v>
          </cell>
          <cell r="U621">
            <v>1206422000</v>
          </cell>
          <cell r="V621">
            <v>1120536000</v>
          </cell>
          <cell r="X621">
            <v>1120536000</v>
          </cell>
          <cell r="AK621">
            <v>15708718</v>
          </cell>
          <cell r="AL621">
            <v>216510</v>
          </cell>
        </row>
        <row r="622">
          <cell r="B622">
            <v>44431</v>
          </cell>
          <cell r="C622">
            <v>36971416000</v>
          </cell>
          <cell r="G622">
            <v>36971416000</v>
          </cell>
          <cell r="H622">
            <v>9982282</v>
          </cell>
          <cell r="I622">
            <v>17160037000</v>
          </cell>
          <cell r="J622">
            <v>12230820000</v>
          </cell>
          <cell r="K622">
            <v>29390857000</v>
          </cell>
          <cell r="M622">
            <v>22408517000</v>
          </cell>
          <cell r="O622">
            <v>22408517000</v>
          </cell>
          <cell r="P622">
            <v>5553518000</v>
          </cell>
          <cell r="R622">
            <v>5553518000</v>
          </cell>
          <cell r="S622">
            <v>1669993000</v>
          </cell>
          <cell r="U622">
            <v>1669993000</v>
          </cell>
          <cell r="V622">
            <v>821955000</v>
          </cell>
          <cell r="X622">
            <v>821955000</v>
          </cell>
          <cell r="AK622">
            <v>7343862</v>
          </cell>
          <cell r="AL622">
            <v>240060</v>
          </cell>
        </row>
        <row r="623">
          <cell r="B623">
            <v>44432</v>
          </cell>
          <cell r="C623">
            <v>69205015000</v>
          </cell>
          <cell r="D623">
            <v>9265925000</v>
          </cell>
          <cell r="G623">
            <v>78470940000</v>
          </cell>
          <cell r="H623">
            <v>21187154</v>
          </cell>
          <cell r="I623">
            <v>14961515000</v>
          </cell>
          <cell r="K623">
            <v>14961515000</v>
          </cell>
          <cell r="M623">
            <v>17736029000</v>
          </cell>
          <cell r="O623">
            <v>17736029000</v>
          </cell>
          <cell r="P623">
            <v>2846778000</v>
          </cell>
          <cell r="R623">
            <v>2846778000</v>
          </cell>
          <cell r="S623">
            <v>1642724000</v>
          </cell>
          <cell r="U623">
            <v>1642724000</v>
          </cell>
          <cell r="V623">
            <v>35546000</v>
          </cell>
          <cell r="X623">
            <v>35546000</v>
          </cell>
          <cell r="AK623">
            <v>4020040</v>
          </cell>
          <cell r="AL623">
            <v>385050</v>
          </cell>
        </row>
        <row r="624">
          <cell r="B624">
            <v>44433</v>
          </cell>
          <cell r="C624">
            <v>37221040000</v>
          </cell>
          <cell r="D624">
            <v>9960285000</v>
          </cell>
          <cell r="E624">
            <v>2902965000</v>
          </cell>
          <cell r="G624">
            <v>50084290000</v>
          </cell>
          <cell r="H624">
            <v>13522758</v>
          </cell>
          <cell r="I624">
            <v>10492198000</v>
          </cell>
          <cell r="J624">
            <v>39796490000</v>
          </cell>
          <cell r="K624">
            <v>50288688000</v>
          </cell>
          <cell r="M624">
            <v>19433466000</v>
          </cell>
          <cell r="O624">
            <v>19433466000</v>
          </cell>
          <cell r="P624">
            <v>1206104000</v>
          </cell>
          <cell r="R624">
            <v>1206104000</v>
          </cell>
          <cell r="S624">
            <v>1093310000</v>
          </cell>
          <cell r="U624">
            <v>1093310000</v>
          </cell>
          <cell r="V624">
            <v>1262720000</v>
          </cell>
          <cell r="X624">
            <v>1262720000</v>
          </cell>
          <cell r="AK624">
            <v>10780050</v>
          </cell>
          <cell r="AL624">
            <v>633120</v>
          </cell>
        </row>
        <row r="625">
          <cell r="B625">
            <v>44434</v>
          </cell>
          <cell r="C625">
            <v>64005220000</v>
          </cell>
          <cell r="F625">
            <v>2703985000</v>
          </cell>
          <cell r="G625">
            <v>66709205000</v>
          </cell>
          <cell r="H625">
            <v>18011485</v>
          </cell>
          <cell r="I625">
            <v>0</v>
          </cell>
          <cell r="J625">
            <v>114562000000</v>
          </cell>
          <cell r="K625">
            <v>114562000000</v>
          </cell>
          <cell r="M625">
            <v>10508861000</v>
          </cell>
          <cell r="N625">
            <v>49420000000</v>
          </cell>
          <cell r="O625">
            <v>59928861000</v>
          </cell>
          <cell r="P625">
            <v>1816719000</v>
          </cell>
          <cell r="R625">
            <v>1816719000</v>
          </cell>
          <cell r="S625">
            <v>1333796000</v>
          </cell>
          <cell r="U625">
            <v>1333796000</v>
          </cell>
          <cell r="V625">
            <v>3712497000</v>
          </cell>
          <cell r="X625">
            <v>3712497000</v>
          </cell>
          <cell r="AK625">
            <v>31392922</v>
          </cell>
          <cell r="AL625">
            <v>626070</v>
          </cell>
        </row>
        <row r="626">
          <cell r="C626">
            <v>244056506000</v>
          </cell>
          <cell r="D626">
            <v>19226210000</v>
          </cell>
          <cell r="E626">
            <v>2902965000</v>
          </cell>
          <cell r="F626">
            <v>2703985000</v>
          </cell>
          <cell r="G626">
            <v>268889666000</v>
          </cell>
          <cell r="H626">
            <v>72600209</v>
          </cell>
          <cell r="I626">
            <v>51650860000</v>
          </cell>
          <cell r="J626">
            <v>229948310000</v>
          </cell>
          <cell r="K626">
            <v>281599170000</v>
          </cell>
          <cell r="L626">
            <v>0</v>
          </cell>
          <cell r="M626">
            <v>91355326000</v>
          </cell>
          <cell r="N626">
            <v>49420000000</v>
          </cell>
          <cell r="O626">
            <v>140775326000</v>
          </cell>
          <cell r="P626">
            <v>18643361000</v>
          </cell>
          <cell r="Q626">
            <v>0</v>
          </cell>
          <cell r="R626">
            <v>18643361000</v>
          </cell>
          <cell r="S626">
            <v>6946245000</v>
          </cell>
          <cell r="T626">
            <v>0</v>
          </cell>
          <cell r="U626">
            <v>6946245000</v>
          </cell>
          <cell r="V626">
            <v>6953254000</v>
          </cell>
          <cell r="W626">
            <v>0</v>
          </cell>
          <cell r="X626">
            <v>6953254000</v>
          </cell>
          <cell r="AK626">
            <v>69245592</v>
          </cell>
          <cell r="AL626">
            <v>2100810</v>
          </cell>
        </row>
        <row r="627">
          <cell r="B627">
            <v>44435</v>
          </cell>
          <cell r="C627">
            <v>152354180000</v>
          </cell>
          <cell r="D627">
            <v>26861690000</v>
          </cell>
          <cell r="G627">
            <v>179215870000</v>
          </cell>
          <cell r="H627">
            <v>48388285</v>
          </cell>
          <cell r="I627">
            <v>4069645000</v>
          </cell>
          <cell r="J627">
            <v>71564000000</v>
          </cell>
          <cell r="K627">
            <v>75633645000</v>
          </cell>
          <cell r="M627">
            <v>6257769000</v>
          </cell>
          <cell r="O627">
            <v>6257769000</v>
          </cell>
          <cell r="P627">
            <v>3782052000</v>
          </cell>
          <cell r="R627">
            <v>3782052000</v>
          </cell>
          <cell r="S627">
            <v>1080063000</v>
          </cell>
          <cell r="U627">
            <v>1080063000</v>
          </cell>
          <cell r="V627">
            <v>727231000</v>
          </cell>
          <cell r="X627">
            <v>727231000</v>
          </cell>
          <cell r="AK627">
            <v>14600530</v>
          </cell>
          <cell r="AL627">
            <v>629100</v>
          </cell>
        </row>
        <row r="628">
          <cell r="B628">
            <v>44438</v>
          </cell>
          <cell r="C628">
            <v>104762425000</v>
          </cell>
          <cell r="G628">
            <v>104762425000</v>
          </cell>
          <cell r="H628">
            <v>28285855</v>
          </cell>
          <cell r="I628">
            <v>1200356000</v>
          </cell>
          <cell r="J628">
            <v>83341628000</v>
          </cell>
          <cell r="K628">
            <v>84541984000</v>
          </cell>
          <cell r="M628">
            <v>7559000</v>
          </cell>
          <cell r="N628">
            <v>12472500000</v>
          </cell>
          <cell r="O628">
            <v>12480059000</v>
          </cell>
          <cell r="P628">
            <v>3524301000</v>
          </cell>
          <cell r="R628">
            <v>3524301000</v>
          </cell>
          <cell r="S628">
            <v>1164421000</v>
          </cell>
          <cell r="U628">
            <v>1164421000</v>
          </cell>
          <cell r="V628">
            <v>1240616000</v>
          </cell>
          <cell r="X628">
            <v>1240616000</v>
          </cell>
          <cell r="AK628">
            <v>18017366</v>
          </cell>
          <cell r="AL628">
            <v>546930</v>
          </cell>
        </row>
        <row r="629">
          <cell r="B629">
            <v>44439</v>
          </cell>
          <cell r="C629">
            <v>35907375000</v>
          </cell>
          <cell r="D629">
            <v>10990570000</v>
          </cell>
          <cell r="G629">
            <v>46897945000</v>
          </cell>
          <cell r="H629">
            <v>12662445</v>
          </cell>
          <cell r="I629">
            <v>38554000</v>
          </cell>
          <cell r="J629">
            <v>95916000000</v>
          </cell>
          <cell r="K629">
            <v>95954554000</v>
          </cell>
          <cell r="M629">
            <v>3170811000</v>
          </cell>
          <cell r="O629">
            <v>3170811000</v>
          </cell>
          <cell r="P629">
            <v>420445000</v>
          </cell>
          <cell r="R629">
            <v>420445000</v>
          </cell>
          <cell r="S629">
            <v>979586000</v>
          </cell>
          <cell r="U629">
            <v>979586000</v>
          </cell>
          <cell r="V629">
            <v>1015159000</v>
          </cell>
          <cell r="X629">
            <v>1015159000</v>
          </cell>
          <cell r="AK629">
            <v>17872332</v>
          </cell>
          <cell r="AL629">
            <v>522690</v>
          </cell>
        </row>
        <row r="630">
          <cell r="B630">
            <v>44440</v>
          </cell>
          <cell r="C630">
            <v>112080665000</v>
          </cell>
          <cell r="D630">
            <v>32839215000</v>
          </cell>
          <cell r="E630">
            <v>1757120000</v>
          </cell>
          <cell r="G630">
            <v>146677000000</v>
          </cell>
          <cell r="H630">
            <v>39602790</v>
          </cell>
          <cell r="I630">
            <v>2400812000</v>
          </cell>
          <cell r="J630">
            <v>80597250000</v>
          </cell>
          <cell r="K630">
            <v>82998062000</v>
          </cell>
          <cell r="M630">
            <v>4371694000</v>
          </cell>
          <cell r="N630">
            <v>37410000000</v>
          </cell>
          <cell r="O630">
            <v>41781694000</v>
          </cell>
          <cell r="P630">
            <v>641884000</v>
          </cell>
          <cell r="R630">
            <v>641884000</v>
          </cell>
          <cell r="S630">
            <v>1051909000</v>
          </cell>
          <cell r="U630">
            <v>1051909000</v>
          </cell>
          <cell r="V630">
            <v>30204000</v>
          </cell>
          <cell r="X630">
            <v>30204000</v>
          </cell>
          <cell r="AK630">
            <v>22158927</v>
          </cell>
          <cell r="AL630">
            <v>442410</v>
          </cell>
        </row>
        <row r="631">
          <cell r="C631">
            <v>405104645000</v>
          </cell>
          <cell r="D631">
            <v>70691475000</v>
          </cell>
          <cell r="E631">
            <v>1757120000</v>
          </cell>
          <cell r="F631">
            <v>0</v>
          </cell>
          <cell r="G631">
            <v>477553240000</v>
          </cell>
          <cell r="H631">
            <v>128939375</v>
          </cell>
          <cell r="I631">
            <v>7709367000</v>
          </cell>
          <cell r="J631">
            <v>331418878000</v>
          </cell>
          <cell r="K631">
            <v>339128245000</v>
          </cell>
          <cell r="L631">
            <v>0</v>
          </cell>
          <cell r="M631">
            <v>13807833000</v>
          </cell>
          <cell r="N631">
            <v>49882500000</v>
          </cell>
          <cell r="O631">
            <v>63690333000</v>
          </cell>
          <cell r="P631">
            <v>8368682000</v>
          </cell>
          <cell r="Q631">
            <v>0</v>
          </cell>
          <cell r="R631">
            <v>8368682000</v>
          </cell>
          <cell r="S631">
            <v>4275979000</v>
          </cell>
          <cell r="T631">
            <v>0</v>
          </cell>
          <cell r="U631">
            <v>4275979000</v>
          </cell>
          <cell r="V631">
            <v>3013210000</v>
          </cell>
          <cell r="W631">
            <v>0</v>
          </cell>
          <cell r="X631">
            <v>3013210000</v>
          </cell>
          <cell r="AK631">
            <v>72649155</v>
          </cell>
          <cell r="AL631">
            <v>2141130</v>
          </cell>
        </row>
        <row r="632">
          <cell r="B632">
            <v>44445</v>
          </cell>
          <cell r="C632">
            <v>63615070000</v>
          </cell>
          <cell r="D632">
            <v>27314160000</v>
          </cell>
          <cell r="G632">
            <v>90929230000</v>
          </cell>
          <cell r="H632">
            <v>24550892</v>
          </cell>
          <cell r="I632">
            <v>1864976000</v>
          </cell>
          <cell r="J632">
            <v>99840000000</v>
          </cell>
          <cell r="K632">
            <v>101704976000</v>
          </cell>
          <cell r="M632">
            <v>5016608000</v>
          </cell>
          <cell r="O632">
            <v>5016608000</v>
          </cell>
          <cell r="P632">
            <v>3822246000</v>
          </cell>
          <cell r="R632">
            <v>3822246000</v>
          </cell>
          <cell r="S632">
            <v>1817652000</v>
          </cell>
          <cell r="U632">
            <v>1817652000</v>
          </cell>
          <cell r="V632">
            <v>206983000</v>
          </cell>
          <cell r="X632">
            <v>206983000</v>
          </cell>
          <cell r="AK632">
            <v>19345874</v>
          </cell>
          <cell r="AL632">
            <v>520020</v>
          </cell>
        </row>
        <row r="633">
          <cell r="B633">
            <v>44446</v>
          </cell>
          <cell r="C633">
            <v>53337720000</v>
          </cell>
          <cell r="D633">
            <v>36909960000</v>
          </cell>
          <cell r="G633">
            <v>90247680000</v>
          </cell>
          <cell r="H633">
            <v>24366874</v>
          </cell>
          <cell r="I633">
            <v>0</v>
          </cell>
          <cell r="J633">
            <v>70056500000</v>
          </cell>
          <cell r="K633">
            <v>70056500000</v>
          </cell>
          <cell r="M633">
            <v>14665199000</v>
          </cell>
          <cell r="O633">
            <v>14665199000</v>
          </cell>
          <cell r="P633">
            <v>2027975000</v>
          </cell>
          <cell r="R633">
            <v>2027975000</v>
          </cell>
          <cell r="S633">
            <v>1357475000</v>
          </cell>
          <cell r="U633">
            <v>1357475000</v>
          </cell>
          <cell r="V633">
            <v>530935000</v>
          </cell>
          <cell r="X633">
            <v>530935000</v>
          </cell>
          <cell r="AK633">
            <v>14616981</v>
          </cell>
          <cell r="AL633">
            <v>653730</v>
          </cell>
        </row>
        <row r="634">
          <cell r="B634">
            <v>44447</v>
          </cell>
          <cell r="C634">
            <v>42037695000</v>
          </cell>
          <cell r="G634">
            <v>42037695000</v>
          </cell>
          <cell r="H634">
            <v>11350178</v>
          </cell>
          <cell r="I634">
            <v>0</v>
          </cell>
          <cell r="J634">
            <v>46203500000</v>
          </cell>
          <cell r="K634">
            <v>46203500000</v>
          </cell>
          <cell r="M634">
            <v>14278411000</v>
          </cell>
          <cell r="O634">
            <v>14278411000</v>
          </cell>
          <cell r="P634">
            <v>1399111000</v>
          </cell>
          <cell r="R634">
            <v>1399111000</v>
          </cell>
          <cell r="S634">
            <v>1374665000</v>
          </cell>
          <cell r="U634">
            <v>1374665000</v>
          </cell>
          <cell r="V634">
            <v>247080000</v>
          </cell>
          <cell r="X634">
            <v>247080000</v>
          </cell>
          <cell r="AK634">
            <v>10184951</v>
          </cell>
          <cell r="AL634">
            <v>728820</v>
          </cell>
        </row>
        <row r="635">
          <cell r="B635">
            <v>44448</v>
          </cell>
          <cell r="C635">
            <v>11241820000</v>
          </cell>
          <cell r="D635">
            <v>6914650000</v>
          </cell>
          <cell r="G635">
            <v>18156470000</v>
          </cell>
          <cell r="H635">
            <v>4902247</v>
          </cell>
          <cell r="I635">
            <v>0</v>
          </cell>
          <cell r="J635">
            <v>0</v>
          </cell>
          <cell r="K635">
            <v>0</v>
          </cell>
          <cell r="M635">
            <v>6674820000</v>
          </cell>
          <cell r="O635">
            <v>6674820000</v>
          </cell>
          <cell r="P635">
            <v>896951000</v>
          </cell>
          <cell r="R635">
            <v>896951000</v>
          </cell>
          <cell r="S635">
            <v>586932000</v>
          </cell>
          <cell r="U635">
            <v>586932000</v>
          </cell>
          <cell r="V635">
            <v>323346000</v>
          </cell>
          <cell r="X635">
            <v>323346000</v>
          </cell>
          <cell r="AK635">
            <v>916061</v>
          </cell>
          <cell r="AL635">
            <v>158130</v>
          </cell>
        </row>
        <row r="636">
          <cell r="C636">
            <v>170232305000</v>
          </cell>
          <cell r="D636">
            <v>71138770000</v>
          </cell>
          <cell r="E636">
            <v>0</v>
          </cell>
          <cell r="F636">
            <v>0</v>
          </cell>
          <cell r="G636">
            <v>241371075000</v>
          </cell>
          <cell r="H636">
            <v>65170191</v>
          </cell>
          <cell r="I636">
            <v>1864976000</v>
          </cell>
          <cell r="J636">
            <v>216100000000</v>
          </cell>
          <cell r="K636">
            <v>217964976000</v>
          </cell>
          <cell r="L636">
            <v>0</v>
          </cell>
          <cell r="M636">
            <v>40635038000</v>
          </cell>
          <cell r="N636">
            <v>0</v>
          </cell>
          <cell r="O636">
            <v>40635038000</v>
          </cell>
          <cell r="P636">
            <v>8146283000</v>
          </cell>
          <cell r="Q636">
            <v>0</v>
          </cell>
          <cell r="R636">
            <v>8146283000</v>
          </cell>
          <cell r="S636">
            <v>5136724000</v>
          </cell>
          <cell r="T636">
            <v>0</v>
          </cell>
          <cell r="U636">
            <v>5136724000</v>
          </cell>
          <cell r="V636">
            <v>1308344000</v>
          </cell>
          <cell r="W636">
            <v>0</v>
          </cell>
          <cell r="X636">
            <v>1308344000</v>
          </cell>
          <cell r="AK636">
            <v>45063867</v>
          </cell>
          <cell r="AL636">
            <v>2060700</v>
          </cell>
        </row>
        <row r="637">
          <cell r="B637">
            <v>44449</v>
          </cell>
          <cell r="C637">
            <v>12448520000</v>
          </cell>
          <cell r="D637">
            <v>12822640000</v>
          </cell>
          <cell r="G637">
            <v>25271160000</v>
          </cell>
          <cell r="H637">
            <v>6823213</v>
          </cell>
          <cell r="I637">
            <v>290238000</v>
          </cell>
          <cell r="K637">
            <v>290238000</v>
          </cell>
          <cell r="M637">
            <v>4648817000</v>
          </cell>
          <cell r="O637">
            <v>4648817000</v>
          </cell>
          <cell r="P637">
            <v>1988936000</v>
          </cell>
          <cell r="R637">
            <v>1988936000</v>
          </cell>
          <cell r="S637">
            <v>658448000</v>
          </cell>
          <cell r="U637">
            <v>658448000</v>
          </cell>
          <cell r="V637">
            <v>138623000</v>
          </cell>
          <cell r="X637">
            <v>138623000</v>
          </cell>
          <cell r="AK637">
            <v>834307</v>
          </cell>
          <cell r="AL637">
            <v>79830</v>
          </cell>
        </row>
        <row r="638">
          <cell r="B638">
            <v>44452</v>
          </cell>
          <cell r="C638">
            <v>10791125000</v>
          </cell>
          <cell r="D638">
            <v>45793195000</v>
          </cell>
          <cell r="G638">
            <v>56584320000</v>
          </cell>
          <cell r="H638">
            <v>15277766</v>
          </cell>
          <cell r="I638">
            <v>8406608000</v>
          </cell>
          <cell r="K638">
            <v>8406608000</v>
          </cell>
          <cell r="M638">
            <v>5262601000</v>
          </cell>
          <cell r="O638">
            <v>5262601000</v>
          </cell>
          <cell r="P638">
            <v>936808000</v>
          </cell>
          <cell r="R638">
            <v>936808000</v>
          </cell>
          <cell r="S638">
            <v>1665591000</v>
          </cell>
          <cell r="U638">
            <v>1665591000</v>
          </cell>
          <cell r="V638">
            <v>1479400000</v>
          </cell>
          <cell r="X638">
            <v>1479400000</v>
          </cell>
          <cell r="AK638">
            <v>1917109</v>
          </cell>
          <cell r="AL638">
            <v>251100</v>
          </cell>
        </row>
        <row r="639">
          <cell r="B639">
            <v>44453</v>
          </cell>
          <cell r="C639">
            <v>10697290000</v>
          </cell>
          <cell r="G639">
            <v>10697290000</v>
          </cell>
          <cell r="H639">
            <v>2888268</v>
          </cell>
          <cell r="I639">
            <v>553624000</v>
          </cell>
          <cell r="K639">
            <v>553624000</v>
          </cell>
          <cell r="M639">
            <v>444922000</v>
          </cell>
          <cell r="O639">
            <v>444922000</v>
          </cell>
          <cell r="P639">
            <v>8126000</v>
          </cell>
          <cell r="R639">
            <v>8126000</v>
          </cell>
          <cell r="S639">
            <v>975815000</v>
          </cell>
          <cell r="U639">
            <v>975815000</v>
          </cell>
          <cell r="V639">
            <v>556530000</v>
          </cell>
          <cell r="X639">
            <v>556530000</v>
          </cell>
          <cell r="AK639">
            <v>274214</v>
          </cell>
          <cell r="AL639">
            <v>27750</v>
          </cell>
        </row>
        <row r="640">
          <cell r="B640">
            <v>44454</v>
          </cell>
          <cell r="C640">
            <v>50323105000</v>
          </cell>
          <cell r="G640">
            <v>50323105000</v>
          </cell>
          <cell r="H640">
            <v>13587238</v>
          </cell>
          <cell r="I640">
            <v>2420260000</v>
          </cell>
          <cell r="K640">
            <v>2420260000</v>
          </cell>
          <cell r="M640">
            <v>5312188000</v>
          </cell>
          <cell r="N640">
            <v>12800000000</v>
          </cell>
          <cell r="O640">
            <v>18112188000</v>
          </cell>
          <cell r="P640">
            <v>14114000</v>
          </cell>
          <cell r="R640">
            <v>14114000</v>
          </cell>
          <cell r="S640">
            <v>642206000</v>
          </cell>
          <cell r="U640">
            <v>642206000</v>
          </cell>
          <cell r="V640">
            <v>129505000</v>
          </cell>
          <cell r="X640">
            <v>129505000</v>
          </cell>
          <cell r="AK640">
            <v>3223973</v>
          </cell>
          <cell r="AL640">
            <v>8269</v>
          </cell>
        </row>
        <row r="641">
          <cell r="B641">
            <v>44455</v>
          </cell>
          <cell r="C641">
            <v>8506445000</v>
          </cell>
          <cell r="G641">
            <v>8506445000</v>
          </cell>
          <cell r="H641">
            <v>2296740</v>
          </cell>
          <cell r="I641">
            <v>3897909000</v>
          </cell>
          <cell r="J641">
            <v>19476000000</v>
          </cell>
          <cell r="K641">
            <v>23373909000</v>
          </cell>
          <cell r="M641">
            <v>8461742000</v>
          </cell>
          <cell r="O641">
            <v>8461742000</v>
          </cell>
          <cell r="P641">
            <v>12201000</v>
          </cell>
          <cell r="R641">
            <v>12201000</v>
          </cell>
          <cell r="S641">
            <v>770281000</v>
          </cell>
          <cell r="U641">
            <v>770281000</v>
          </cell>
          <cell r="V641">
            <v>391562000</v>
          </cell>
          <cell r="X641">
            <v>391562000</v>
          </cell>
          <cell r="AK641">
            <v>4967319</v>
          </cell>
          <cell r="AL641">
            <v>161940</v>
          </cell>
        </row>
        <row r="642">
          <cell r="C642">
            <v>92766485000</v>
          </cell>
          <cell r="D642">
            <v>58615835000</v>
          </cell>
          <cell r="E642">
            <v>0</v>
          </cell>
          <cell r="F642">
            <v>0</v>
          </cell>
          <cell r="G642">
            <v>151382320000</v>
          </cell>
          <cell r="H642">
            <v>40873225</v>
          </cell>
          <cell r="I642">
            <v>15568639000</v>
          </cell>
          <cell r="J642">
            <v>19476000000</v>
          </cell>
          <cell r="K642">
            <v>35044639000</v>
          </cell>
          <cell r="L642">
            <v>0</v>
          </cell>
          <cell r="M642">
            <v>24130270000</v>
          </cell>
          <cell r="N642">
            <v>12800000000</v>
          </cell>
          <cell r="O642">
            <v>36930270000</v>
          </cell>
          <cell r="P642">
            <v>2960185000</v>
          </cell>
          <cell r="Q642">
            <v>0</v>
          </cell>
          <cell r="R642">
            <v>2960185000</v>
          </cell>
          <cell r="S642">
            <v>4712341000</v>
          </cell>
          <cell r="T642">
            <v>0</v>
          </cell>
          <cell r="U642">
            <v>4712341000</v>
          </cell>
          <cell r="V642">
            <v>2695620000</v>
          </cell>
          <cell r="W642">
            <v>0</v>
          </cell>
          <cell r="X642">
            <v>2695620000</v>
          </cell>
          <cell r="AK642">
            <v>11216922</v>
          </cell>
          <cell r="AL642">
            <v>528889</v>
          </cell>
        </row>
        <row r="643">
          <cell r="B643">
            <v>44456</v>
          </cell>
          <cell r="C643">
            <v>23390910000</v>
          </cell>
          <cell r="G643">
            <v>23390910000</v>
          </cell>
          <cell r="H643">
            <v>6315546</v>
          </cell>
          <cell r="I643">
            <v>0</v>
          </cell>
          <cell r="M643">
            <v>6504647000</v>
          </cell>
          <cell r="N643">
            <v>13005000000</v>
          </cell>
          <cell r="O643">
            <v>19509647000</v>
          </cell>
          <cell r="P643">
            <v>80818000</v>
          </cell>
          <cell r="R643">
            <v>80818000</v>
          </cell>
          <cell r="S643">
            <v>648891000</v>
          </cell>
          <cell r="U643">
            <v>648891000</v>
          </cell>
          <cell r="V643">
            <v>523924000</v>
          </cell>
          <cell r="X643">
            <v>523924000</v>
          </cell>
          <cell r="AK643">
            <v>3178794</v>
          </cell>
          <cell r="AL643">
            <v>113940</v>
          </cell>
        </row>
        <row r="644">
          <cell r="B644">
            <v>44459</v>
          </cell>
          <cell r="C644">
            <v>32732835000</v>
          </cell>
          <cell r="E644">
            <v>4994570000</v>
          </cell>
          <cell r="G644">
            <v>37727405000</v>
          </cell>
          <cell r="H644">
            <v>10186399</v>
          </cell>
          <cell r="I644">
            <v>14811000</v>
          </cell>
          <cell r="K644">
            <v>14811000</v>
          </cell>
          <cell r="M644">
            <v>2216145000</v>
          </cell>
          <cell r="O644">
            <v>2216145000</v>
          </cell>
          <cell r="P644">
            <v>815365000</v>
          </cell>
          <cell r="R644">
            <v>815365000</v>
          </cell>
          <cell r="S644">
            <v>649369000</v>
          </cell>
          <cell r="U644">
            <v>649369000</v>
          </cell>
          <cell r="V644">
            <v>300650000</v>
          </cell>
          <cell r="X644">
            <v>300650000</v>
          </cell>
          <cell r="AK644">
            <v>431605</v>
          </cell>
          <cell r="AL644">
            <v>115050</v>
          </cell>
        </row>
        <row r="645">
          <cell r="B645">
            <v>44460</v>
          </cell>
          <cell r="C645">
            <v>10770232000</v>
          </cell>
          <cell r="G645">
            <v>10770232000</v>
          </cell>
          <cell r="H645">
            <v>2907963</v>
          </cell>
          <cell r="I645">
            <v>2121224000</v>
          </cell>
          <cell r="J645">
            <v>125930000000</v>
          </cell>
          <cell r="K645">
            <v>128051224000</v>
          </cell>
          <cell r="M645">
            <v>1817078000</v>
          </cell>
          <cell r="O645">
            <v>1817078000</v>
          </cell>
          <cell r="P645">
            <v>180880000</v>
          </cell>
          <cell r="R645">
            <v>180880000</v>
          </cell>
          <cell r="S645">
            <v>690348000</v>
          </cell>
          <cell r="U645">
            <v>690348000</v>
          </cell>
          <cell r="V645">
            <v>116555000</v>
          </cell>
          <cell r="X645">
            <v>116555000</v>
          </cell>
          <cell r="AK645">
            <v>23199417</v>
          </cell>
          <cell r="AL645">
            <v>176010</v>
          </cell>
        </row>
        <row r="646">
          <cell r="B646">
            <v>44461</v>
          </cell>
          <cell r="C646">
            <v>18474610000</v>
          </cell>
          <cell r="G646">
            <v>18474610000</v>
          </cell>
          <cell r="H646">
            <v>4988145</v>
          </cell>
          <cell r="I646">
            <v>0</v>
          </cell>
          <cell r="K646">
            <v>0</v>
          </cell>
          <cell r="M646">
            <v>5539870000</v>
          </cell>
          <cell r="N646">
            <v>25775000000</v>
          </cell>
          <cell r="O646">
            <v>31314870000</v>
          </cell>
          <cell r="P646">
            <v>202488000</v>
          </cell>
          <cell r="R646">
            <v>202488000</v>
          </cell>
          <cell r="S646">
            <v>616352000</v>
          </cell>
          <cell r="U646">
            <v>616352000</v>
          </cell>
          <cell r="V646">
            <v>317800000</v>
          </cell>
          <cell r="X646">
            <v>317800000</v>
          </cell>
          <cell r="AK646">
            <v>5360563</v>
          </cell>
          <cell r="AL646">
            <v>182850</v>
          </cell>
        </row>
        <row r="647">
          <cell r="B647">
            <v>44462</v>
          </cell>
          <cell r="C647">
            <v>31600655000</v>
          </cell>
          <cell r="D647">
            <v>16235410000</v>
          </cell>
          <cell r="G647">
            <v>47836065000</v>
          </cell>
          <cell r="H647">
            <v>12915738</v>
          </cell>
          <cell r="I647">
            <v>735600000</v>
          </cell>
          <cell r="K647">
            <v>735600000</v>
          </cell>
          <cell r="M647">
            <v>9122262000</v>
          </cell>
          <cell r="N647">
            <v>26100000000</v>
          </cell>
          <cell r="O647">
            <v>35222262000</v>
          </cell>
          <cell r="P647">
            <v>314765000</v>
          </cell>
          <cell r="R647">
            <v>314765000</v>
          </cell>
          <cell r="S647">
            <v>641688000</v>
          </cell>
          <cell r="U647">
            <v>641688000</v>
          </cell>
          <cell r="V647">
            <v>202189000</v>
          </cell>
          <cell r="X647">
            <v>202189000</v>
          </cell>
          <cell r="AK647">
            <v>5887782</v>
          </cell>
          <cell r="AL647">
            <v>302010</v>
          </cell>
        </row>
        <row r="648">
          <cell r="C648">
            <v>116969242000</v>
          </cell>
          <cell r="D648">
            <v>16235410000</v>
          </cell>
          <cell r="E648">
            <v>4994570000</v>
          </cell>
          <cell r="F648">
            <v>0</v>
          </cell>
          <cell r="G648">
            <v>138199222000</v>
          </cell>
          <cell r="H648">
            <v>37313791</v>
          </cell>
          <cell r="I648">
            <v>2871635000</v>
          </cell>
          <cell r="J648">
            <v>125930000000</v>
          </cell>
          <cell r="K648">
            <v>128801635000</v>
          </cell>
          <cell r="L648">
            <v>0</v>
          </cell>
          <cell r="M648">
            <v>25200002000</v>
          </cell>
          <cell r="N648">
            <v>64880000000</v>
          </cell>
          <cell r="O648">
            <v>90080002000</v>
          </cell>
          <cell r="P648">
            <v>1594316000</v>
          </cell>
          <cell r="Q648">
            <v>0</v>
          </cell>
          <cell r="R648">
            <v>1594316000</v>
          </cell>
          <cell r="S648">
            <v>3246648000</v>
          </cell>
          <cell r="T648">
            <v>0</v>
          </cell>
          <cell r="U648">
            <v>3246648000</v>
          </cell>
          <cell r="V648">
            <v>1461118000</v>
          </cell>
          <cell r="W648">
            <v>0</v>
          </cell>
          <cell r="X648">
            <v>1461118000</v>
          </cell>
          <cell r="AK648">
            <v>38058161</v>
          </cell>
          <cell r="AL648">
            <v>889860</v>
          </cell>
        </row>
        <row r="649">
          <cell r="B649">
            <v>44463</v>
          </cell>
          <cell r="C649">
            <v>86721935000</v>
          </cell>
          <cell r="D649">
            <v>38132810000</v>
          </cell>
          <cell r="F649">
            <v>3442920000</v>
          </cell>
          <cell r="G649">
            <v>128297665000</v>
          </cell>
          <cell r="H649">
            <v>34640370</v>
          </cell>
          <cell r="I649">
            <v>3358983000</v>
          </cell>
          <cell r="J649">
            <v>29436000000</v>
          </cell>
          <cell r="K649">
            <v>32794983000</v>
          </cell>
          <cell r="M649">
            <v>2621127000</v>
          </cell>
          <cell r="O649">
            <v>2621127000</v>
          </cell>
          <cell r="P649">
            <v>505611000</v>
          </cell>
          <cell r="R649">
            <v>505611000</v>
          </cell>
          <cell r="S649">
            <v>599446000</v>
          </cell>
          <cell r="U649">
            <v>599446000</v>
          </cell>
          <cell r="V649">
            <v>61541000</v>
          </cell>
          <cell r="X649">
            <v>61541000</v>
          </cell>
          <cell r="AK649">
            <v>6070324</v>
          </cell>
          <cell r="AL649">
            <v>586950</v>
          </cell>
        </row>
        <row r="650">
          <cell r="B650">
            <v>44466</v>
          </cell>
          <cell r="C650">
            <v>8047085000</v>
          </cell>
          <cell r="D650">
            <v>17235910000</v>
          </cell>
          <cell r="G650">
            <v>25282995000</v>
          </cell>
          <cell r="H650">
            <v>6826409</v>
          </cell>
          <cell r="I650">
            <v>1898313000</v>
          </cell>
          <cell r="J650">
            <v>48968000000</v>
          </cell>
          <cell r="K650">
            <v>50866313000</v>
          </cell>
          <cell r="M650">
            <v>0</v>
          </cell>
          <cell r="P650">
            <v>346045000</v>
          </cell>
          <cell r="R650">
            <v>346045000</v>
          </cell>
          <cell r="S650">
            <v>580107000</v>
          </cell>
          <cell r="U650">
            <v>580107000</v>
          </cell>
          <cell r="V650">
            <v>530199000</v>
          </cell>
          <cell r="X650">
            <v>530199000</v>
          </cell>
          <cell r="AK650">
            <v>9176544</v>
          </cell>
          <cell r="AL650">
            <v>87600</v>
          </cell>
        </row>
        <row r="651">
          <cell r="B651">
            <v>44467</v>
          </cell>
          <cell r="C651">
            <v>25745270000</v>
          </cell>
          <cell r="G651">
            <v>25745270000</v>
          </cell>
          <cell r="H651">
            <v>6951223</v>
          </cell>
          <cell r="I651">
            <v>0</v>
          </cell>
          <cell r="K651">
            <v>0</v>
          </cell>
          <cell r="M651">
            <v>60301000</v>
          </cell>
          <cell r="O651">
            <v>60301000</v>
          </cell>
          <cell r="P651">
            <v>193165000</v>
          </cell>
          <cell r="R651">
            <v>193165000</v>
          </cell>
          <cell r="S651">
            <v>1613180000</v>
          </cell>
          <cell r="T651">
            <v>1800500000</v>
          </cell>
          <cell r="U651">
            <v>3413680000</v>
          </cell>
          <cell r="V651">
            <v>198720000</v>
          </cell>
          <cell r="X651">
            <v>198720000</v>
          </cell>
          <cell r="AK651">
            <v>547150</v>
          </cell>
          <cell r="AL651">
            <v>58470</v>
          </cell>
        </row>
        <row r="652">
          <cell r="B652">
            <v>44468</v>
          </cell>
          <cell r="C652">
            <v>33028845000</v>
          </cell>
          <cell r="D652">
            <v>9695545000</v>
          </cell>
          <cell r="G652">
            <v>42724390000</v>
          </cell>
          <cell r="H652">
            <v>11535585</v>
          </cell>
          <cell r="I652">
            <v>6491238000</v>
          </cell>
          <cell r="J652">
            <v>4859000000</v>
          </cell>
          <cell r="K652">
            <v>11350238000</v>
          </cell>
          <cell r="M652">
            <v>22677451000</v>
          </cell>
          <cell r="N652">
            <v>25757000000</v>
          </cell>
          <cell r="O652">
            <v>48434451000</v>
          </cell>
          <cell r="P652">
            <v>1319412000</v>
          </cell>
          <cell r="R652">
            <v>1319412000</v>
          </cell>
          <cell r="S652">
            <v>705231000</v>
          </cell>
          <cell r="U652">
            <v>705231000</v>
          </cell>
          <cell r="V652">
            <v>201173000</v>
          </cell>
          <cell r="X652">
            <v>201173000</v>
          </cell>
          <cell r="AK652">
            <v>8901487</v>
          </cell>
          <cell r="AL652">
            <v>479100</v>
          </cell>
        </row>
        <row r="653">
          <cell r="B653">
            <v>44469</v>
          </cell>
          <cell r="C653">
            <v>14781485000</v>
          </cell>
          <cell r="G653">
            <v>14781485000</v>
          </cell>
          <cell r="H653">
            <v>3991001</v>
          </cell>
          <cell r="I653">
            <v>63749000</v>
          </cell>
          <cell r="K653">
            <v>63749000</v>
          </cell>
          <cell r="M653">
            <v>2761880000</v>
          </cell>
          <cell r="O653">
            <v>2761880000</v>
          </cell>
          <cell r="P653">
            <v>1335866000</v>
          </cell>
          <cell r="R653">
            <v>1335866000</v>
          </cell>
          <cell r="S653">
            <v>699871000</v>
          </cell>
          <cell r="U653">
            <v>699871000</v>
          </cell>
          <cell r="V653">
            <v>349391000</v>
          </cell>
          <cell r="X653">
            <v>349391000</v>
          </cell>
          <cell r="AK653">
            <v>562762</v>
          </cell>
          <cell r="AL653">
            <v>61830</v>
          </cell>
        </row>
        <row r="654">
          <cell r="C654">
            <v>168324620000</v>
          </cell>
          <cell r="D654">
            <v>65064265000</v>
          </cell>
          <cell r="E654">
            <v>0</v>
          </cell>
          <cell r="F654">
            <v>3442920000</v>
          </cell>
          <cell r="G654">
            <v>236831805000</v>
          </cell>
          <cell r="H654">
            <v>63944588</v>
          </cell>
          <cell r="I654">
            <v>11812283000</v>
          </cell>
          <cell r="J654">
            <v>83263000000</v>
          </cell>
          <cell r="K654">
            <v>95075283000</v>
          </cell>
          <cell r="L654">
            <v>0</v>
          </cell>
          <cell r="M654">
            <v>28120759000</v>
          </cell>
          <cell r="N654">
            <v>25757000000</v>
          </cell>
          <cell r="O654">
            <v>53877759000</v>
          </cell>
          <cell r="P654">
            <v>3700099000</v>
          </cell>
          <cell r="Q654">
            <v>0</v>
          </cell>
          <cell r="R654">
            <v>3700099000</v>
          </cell>
          <cell r="S654">
            <v>4197835000</v>
          </cell>
          <cell r="T654">
            <v>1800500000</v>
          </cell>
          <cell r="U654">
            <v>5998335000</v>
          </cell>
          <cell r="V654">
            <v>1341024000</v>
          </cell>
          <cell r="W654">
            <v>0</v>
          </cell>
          <cell r="X654">
            <v>1341024000</v>
          </cell>
          <cell r="AK654">
            <v>25258267</v>
          </cell>
          <cell r="AL654">
            <v>1273950</v>
          </cell>
        </row>
        <row r="655">
          <cell r="B655">
            <v>44470</v>
          </cell>
          <cell r="C655">
            <v>36626855000</v>
          </cell>
          <cell r="G655">
            <v>36626855000</v>
          </cell>
          <cell r="H655">
            <v>9889251</v>
          </cell>
          <cell r="I655">
            <v>6258918000</v>
          </cell>
          <cell r="K655">
            <v>6258918000</v>
          </cell>
          <cell r="M655">
            <v>0</v>
          </cell>
          <cell r="P655">
            <v>321911000</v>
          </cell>
          <cell r="R655">
            <v>321911000</v>
          </cell>
          <cell r="S655">
            <v>560584000</v>
          </cell>
          <cell r="T655">
            <v>1823500000</v>
          </cell>
          <cell r="U655">
            <v>2384084000</v>
          </cell>
          <cell r="V655">
            <v>251991000</v>
          </cell>
          <cell r="X655">
            <v>251991000</v>
          </cell>
          <cell r="AK655">
            <v>1126718</v>
          </cell>
          <cell r="AL655">
            <v>181350</v>
          </cell>
        </row>
        <row r="656">
          <cell r="B656">
            <v>44473</v>
          </cell>
          <cell r="C656">
            <v>44828785000</v>
          </cell>
          <cell r="G656">
            <v>44828785000</v>
          </cell>
          <cell r="H656">
            <v>12103772</v>
          </cell>
          <cell r="I656">
            <v>3389988000</v>
          </cell>
          <cell r="K656">
            <v>3389988000</v>
          </cell>
          <cell r="M656">
            <v>1278052000</v>
          </cell>
          <cell r="O656">
            <v>1278052000</v>
          </cell>
          <cell r="P656">
            <v>1944550000</v>
          </cell>
          <cell r="R656">
            <v>1944550000</v>
          </cell>
          <cell r="S656">
            <v>628304000</v>
          </cell>
          <cell r="U656">
            <v>628304000</v>
          </cell>
          <cell r="V656">
            <v>400508000</v>
          </cell>
          <cell r="X656">
            <v>400508000</v>
          </cell>
          <cell r="AK656">
            <v>825271</v>
          </cell>
          <cell r="AL656">
            <v>223110</v>
          </cell>
        </row>
        <row r="657">
          <cell r="B657">
            <v>44474</v>
          </cell>
          <cell r="C657">
            <v>19584770000</v>
          </cell>
          <cell r="G657">
            <v>19584770000</v>
          </cell>
          <cell r="H657">
            <v>5287888</v>
          </cell>
          <cell r="I657">
            <v>21947100000</v>
          </cell>
          <cell r="K657">
            <v>21947100000</v>
          </cell>
          <cell r="M657">
            <v>1011533000</v>
          </cell>
          <cell r="O657">
            <v>1011533000</v>
          </cell>
          <cell r="P657">
            <v>1004741000</v>
          </cell>
          <cell r="R657">
            <v>1004741000</v>
          </cell>
          <cell r="S657">
            <v>609027000</v>
          </cell>
          <cell r="U657">
            <v>609027000</v>
          </cell>
          <cell r="V657">
            <v>141750000</v>
          </cell>
          <cell r="X657">
            <v>141750000</v>
          </cell>
          <cell r="AK657">
            <v>2669128</v>
          </cell>
          <cell r="AL657">
            <v>379710</v>
          </cell>
        </row>
        <row r="658">
          <cell r="B658">
            <v>44475</v>
          </cell>
          <cell r="C658">
            <v>26873115000</v>
          </cell>
          <cell r="G658">
            <v>26873115000</v>
          </cell>
          <cell r="H658">
            <v>7255741</v>
          </cell>
          <cell r="I658">
            <v>4111266000</v>
          </cell>
          <cell r="K658">
            <v>4111266000</v>
          </cell>
          <cell r="M658">
            <v>777600000</v>
          </cell>
          <cell r="O658">
            <v>777600000</v>
          </cell>
          <cell r="P658">
            <v>196008000</v>
          </cell>
          <cell r="R658">
            <v>196008000</v>
          </cell>
          <cell r="S658">
            <v>574932000</v>
          </cell>
          <cell r="U658">
            <v>574932000</v>
          </cell>
          <cell r="V658">
            <v>215160000</v>
          </cell>
          <cell r="X658">
            <v>215160000</v>
          </cell>
          <cell r="AK658">
            <v>634496</v>
          </cell>
          <cell r="AL658">
            <v>183420</v>
          </cell>
        </row>
        <row r="659">
          <cell r="B659">
            <v>44476</v>
          </cell>
          <cell r="C659">
            <v>30953495000</v>
          </cell>
          <cell r="G659">
            <v>30953495000</v>
          </cell>
          <cell r="H659">
            <v>8357444</v>
          </cell>
          <cell r="I659">
            <v>749450000</v>
          </cell>
          <cell r="J659">
            <v>19724000000</v>
          </cell>
          <cell r="K659">
            <v>20473450000</v>
          </cell>
          <cell r="M659">
            <v>3513657000</v>
          </cell>
          <cell r="O659">
            <v>3513657000</v>
          </cell>
          <cell r="P659">
            <v>894378000</v>
          </cell>
          <cell r="R659">
            <v>894378000</v>
          </cell>
          <cell r="S659">
            <v>562019000</v>
          </cell>
          <cell r="U659">
            <v>562019000</v>
          </cell>
          <cell r="V659">
            <v>90775000</v>
          </cell>
          <cell r="X659">
            <v>90775000</v>
          </cell>
          <cell r="AK659">
            <v>4177830</v>
          </cell>
          <cell r="AL659">
            <v>121590</v>
          </cell>
        </row>
        <row r="660">
          <cell r="C660">
            <v>158867020000</v>
          </cell>
          <cell r="D660">
            <v>0</v>
          </cell>
          <cell r="E660">
            <v>0</v>
          </cell>
          <cell r="F660">
            <v>0</v>
          </cell>
          <cell r="G660">
            <v>158867020000</v>
          </cell>
          <cell r="H660">
            <v>42894096</v>
          </cell>
          <cell r="I660">
            <v>36456722000</v>
          </cell>
          <cell r="J660">
            <v>19724000000</v>
          </cell>
          <cell r="K660">
            <v>56180722000</v>
          </cell>
          <cell r="L660">
            <v>0</v>
          </cell>
          <cell r="M660">
            <v>6580842000</v>
          </cell>
          <cell r="N660">
            <v>0</v>
          </cell>
          <cell r="O660">
            <v>6580842000</v>
          </cell>
          <cell r="P660">
            <v>4361588000</v>
          </cell>
          <cell r="Q660">
            <v>0</v>
          </cell>
          <cell r="R660">
            <v>4361588000</v>
          </cell>
          <cell r="S660">
            <v>2934866000</v>
          </cell>
          <cell r="T660">
            <v>1823500000</v>
          </cell>
          <cell r="U660">
            <v>4758366000</v>
          </cell>
          <cell r="V660">
            <v>1100184000</v>
          </cell>
          <cell r="W660">
            <v>0</v>
          </cell>
          <cell r="X660">
            <v>1100184000</v>
          </cell>
          <cell r="AK660">
            <v>9433443</v>
          </cell>
          <cell r="AL660">
            <v>1089180</v>
          </cell>
        </row>
        <row r="661">
          <cell r="B661">
            <v>44477</v>
          </cell>
          <cell r="C661">
            <v>25687415000</v>
          </cell>
          <cell r="G661">
            <v>25687415000</v>
          </cell>
          <cell r="H661">
            <v>6935602</v>
          </cell>
          <cell r="I661">
            <v>12228500000</v>
          </cell>
          <cell r="K661">
            <v>12228500000</v>
          </cell>
          <cell r="M661">
            <v>5255000</v>
          </cell>
          <cell r="O661">
            <v>5255000</v>
          </cell>
          <cell r="P661">
            <v>603425000</v>
          </cell>
          <cell r="R661">
            <v>603425000</v>
          </cell>
          <cell r="S661">
            <v>892454000</v>
          </cell>
          <cell r="U661">
            <v>892454000</v>
          </cell>
          <cell r="V661">
            <v>45571000</v>
          </cell>
          <cell r="X661">
            <v>45571000</v>
          </cell>
          <cell r="AK661">
            <v>1487722</v>
          </cell>
          <cell r="AL661">
            <v>130860</v>
          </cell>
        </row>
        <row r="662">
          <cell r="B662">
            <v>44480</v>
          </cell>
          <cell r="C662">
            <v>58166910000</v>
          </cell>
          <cell r="E662">
            <v>6921465000</v>
          </cell>
          <cell r="G662">
            <v>65088375000</v>
          </cell>
          <cell r="H662">
            <v>17573861</v>
          </cell>
          <cell r="I662">
            <v>7685268000</v>
          </cell>
          <cell r="J662">
            <v>15150600000</v>
          </cell>
          <cell r="K662">
            <v>22835868000</v>
          </cell>
          <cell r="M662">
            <v>11998593000</v>
          </cell>
          <cell r="O662">
            <v>11998593000</v>
          </cell>
          <cell r="P662">
            <v>833245000</v>
          </cell>
          <cell r="R662">
            <v>833245000</v>
          </cell>
          <cell r="S662">
            <v>710712000</v>
          </cell>
          <cell r="U662">
            <v>710712000</v>
          </cell>
          <cell r="V662">
            <v>621400000</v>
          </cell>
          <cell r="X662">
            <v>621400000</v>
          </cell>
          <cell r="AK662">
            <v>5086824</v>
          </cell>
          <cell r="AL662">
            <v>45071</v>
          </cell>
        </row>
        <row r="663">
          <cell r="B663">
            <v>44481</v>
          </cell>
          <cell r="C663">
            <v>27786740000</v>
          </cell>
          <cell r="E663">
            <v>910560000</v>
          </cell>
          <cell r="G663">
            <v>28697300000</v>
          </cell>
          <cell r="H663">
            <v>7748271</v>
          </cell>
          <cell r="I663">
            <v>5620226000</v>
          </cell>
          <cell r="K663">
            <v>5620226000</v>
          </cell>
          <cell r="M663">
            <v>932315000</v>
          </cell>
          <cell r="O663">
            <v>932315000</v>
          </cell>
          <cell r="P663">
            <v>661359000</v>
          </cell>
          <cell r="R663">
            <v>661359000</v>
          </cell>
          <cell r="S663">
            <v>689376000</v>
          </cell>
          <cell r="U663">
            <v>689376000</v>
          </cell>
          <cell r="V663">
            <v>362653000</v>
          </cell>
          <cell r="X663">
            <v>362653000</v>
          </cell>
          <cell r="AK663">
            <v>892720</v>
          </cell>
          <cell r="AL663">
            <v>187830</v>
          </cell>
        </row>
        <row r="664">
          <cell r="B664">
            <v>44482</v>
          </cell>
          <cell r="C664">
            <v>50558490000</v>
          </cell>
          <cell r="D664">
            <v>13763910000</v>
          </cell>
          <cell r="G664">
            <v>64322400000</v>
          </cell>
          <cell r="H664">
            <v>17367048</v>
          </cell>
          <cell r="I664">
            <v>5546823000</v>
          </cell>
          <cell r="K664">
            <v>5546823000</v>
          </cell>
          <cell r="M664">
            <v>13198013000</v>
          </cell>
          <cell r="O664">
            <v>13198013000</v>
          </cell>
          <cell r="P664">
            <v>1193419000</v>
          </cell>
          <cell r="R664">
            <v>1193419000</v>
          </cell>
          <cell r="S664">
            <v>602565000</v>
          </cell>
          <cell r="U664">
            <v>602565000</v>
          </cell>
          <cell r="V664">
            <v>1031395000</v>
          </cell>
          <cell r="X664">
            <v>1031395000</v>
          </cell>
          <cell r="AK664">
            <v>2329799</v>
          </cell>
          <cell r="AL664">
            <v>162660</v>
          </cell>
        </row>
        <row r="665">
          <cell r="B665">
            <v>44483</v>
          </cell>
          <cell r="C665">
            <v>175982050000</v>
          </cell>
          <cell r="G665">
            <v>175982050000</v>
          </cell>
          <cell r="H665">
            <v>47515154</v>
          </cell>
          <cell r="I665">
            <v>15288811000</v>
          </cell>
          <cell r="J665">
            <v>131596400000</v>
          </cell>
          <cell r="K665">
            <v>146885211000</v>
          </cell>
          <cell r="M665">
            <v>815096000</v>
          </cell>
          <cell r="O665">
            <v>815096000</v>
          </cell>
          <cell r="P665">
            <v>142144000</v>
          </cell>
          <cell r="R665">
            <v>142144000</v>
          </cell>
          <cell r="S665">
            <v>580342000</v>
          </cell>
          <cell r="U665">
            <v>580342000</v>
          </cell>
          <cell r="V665">
            <v>821686000</v>
          </cell>
          <cell r="X665">
            <v>821686000</v>
          </cell>
          <cell r="AK665">
            <v>25593345</v>
          </cell>
          <cell r="AL665">
            <v>433650</v>
          </cell>
        </row>
        <row r="666">
          <cell r="C666">
            <v>338181605000</v>
          </cell>
          <cell r="D666">
            <v>13763910000</v>
          </cell>
          <cell r="E666">
            <v>7832025000</v>
          </cell>
          <cell r="F666">
            <v>0</v>
          </cell>
          <cell r="G666">
            <v>359777540000</v>
          </cell>
          <cell r="H666">
            <v>97139936</v>
          </cell>
          <cell r="I666">
            <v>46369628000</v>
          </cell>
          <cell r="J666">
            <v>146747000000</v>
          </cell>
          <cell r="K666">
            <v>193116628000</v>
          </cell>
          <cell r="L666">
            <v>0</v>
          </cell>
          <cell r="M666">
            <v>26949272000</v>
          </cell>
          <cell r="N666">
            <v>0</v>
          </cell>
          <cell r="O666">
            <v>26949272000</v>
          </cell>
          <cell r="P666">
            <v>3433592000</v>
          </cell>
          <cell r="Q666">
            <v>0</v>
          </cell>
          <cell r="R666">
            <v>3433592000</v>
          </cell>
          <cell r="S666">
            <v>3475449000</v>
          </cell>
          <cell r="T666">
            <v>0</v>
          </cell>
          <cell r="U666">
            <v>3475449000</v>
          </cell>
          <cell r="V666">
            <v>2882705000</v>
          </cell>
          <cell r="W666">
            <v>0</v>
          </cell>
          <cell r="X666">
            <v>2882705000</v>
          </cell>
          <cell r="AK666">
            <v>35390410</v>
          </cell>
          <cell r="AL666">
            <v>960071</v>
          </cell>
        </row>
        <row r="667">
          <cell r="B667">
            <v>44484</v>
          </cell>
          <cell r="C667">
            <v>39746485000</v>
          </cell>
          <cell r="G667">
            <v>39746485000</v>
          </cell>
          <cell r="H667">
            <v>10731551</v>
          </cell>
          <cell r="I667">
            <v>2527000000</v>
          </cell>
          <cell r="J667">
            <v>40493900000</v>
          </cell>
          <cell r="K667">
            <v>43020900000</v>
          </cell>
          <cell r="M667">
            <v>3559410000</v>
          </cell>
          <cell r="O667">
            <v>3559410000</v>
          </cell>
          <cell r="P667">
            <v>283182000</v>
          </cell>
          <cell r="R667">
            <v>283182000</v>
          </cell>
          <cell r="S667">
            <v>623689000</v>
          </cell>
          <cell r="U667">
            <v>623689000</v>
          </cell>
          <cell r="V667">
            <v>554740000</v>
          </cell>
          <cell r="W667">
            <v>2873034000</v>
          </cell>
          <cell r="X667">
            <v>3427774000</v>
          </cell>
          <cell r="AK667">
            <v>8621234</v>
          </cell>
          <cell r="AL667">
            <v>403200</v>
          </cell>
        </row>
        <row r="668">
          <cell r="B668">
            <v>44487</v>
          </cell>
          <cell r="C668">
            <v>21691375000</v>
          </cell>
          <cell r="D668">
            <v>32949410000</v>
          </cell>
          <cell r="G668">
            <v>54640785000</v>
          </cell>
          <cell r="H668">
            <v>14753012</v>
          </cell>
          <cell r="I668">
            <v>99021000</v>
          </cell>
          <cell r="K668">
            <v>99021000</v>
          </cell>
          <cell r="M668">
            <v>1633391000</v>
          </cell>
          <cell r="O668">
            <v>1633391000</v>
          </cell>
          <cell r="P668">
            <v>619315000</v>
          </cell>
          <cell r="R668">
            <v>619315000</v>
          </cell>
          <cell r="S668">
            <v>824703000</v>
          </cell>
          <cell r="U668">
            <v>824703000</v>
          </cell>
          <cell r="V668">
            <v>188024000</v>
          </cell>
          <cell r="X668">
            <v>188024000</v>
          </cell>
          <cell r="AK668">
            <v>363361</v>
          </cell>
          <cell r="AL668">
            <v>48810</v>
          </cell>
        </row>
        <row r="669">
          <cell r="B669">
            <v>44488</v>
          </cell>
          <cell r="C669">
            <v>101589045000</v>
          </cell>
          <cell r="D669">
            <v>16917235000</v>
          </cell>
          <cell r="G669">
            <v>118506280000</v>
          </cell>
          <cell r="H669">
            <v>31996696</v>
          </cell>
          <cell r="I669">
            <v>2564000</v>
          </cell>
          <cell r="J669">
            <v>5070600000</v>
          </cell>
          <cell r="K669">
            <v>5073164000</v>
          </cell>
          <cell r="M669">
            <v>1254738000</v>
          </cell>
          <cell r="O669">
            <v>1254738000</v>
          </cell>
          <cell r="P669">
            <v>44933000</v>
          </cell>
          <cell r="R669">
            <v>44933000</v>
          </cell>
          <cell r="S669">
            <v>602397000</v>
          </cell>
          <cell r="U669">
            <v>602397000</v>
          </cell>
          <cell r="V669">
            <v>394617000</v>
          </cell>
          <cell r="X669">
            <v>394617000</v>
          </cell>
          <cell r="AK669">
            <v>1161027</v>
          </cell>
          <cell r="AL669">
            <v>529590</v>
          </cell>
        </row>
        <row r="670">
          <cell r="B670">
            <v>44489</v>
          </cell>
          <cell r="C670">
            <v>132103980000</v>
          </cell>
          <cell r="G670">
            <v>132103980000</v>
          </cell>
          <cell r="H670">
            <v>35668075</v>
          </cell>
          <cell r="I670">
            <v>28181680000</v>
          </cell>
          <cell r="J670">
            <v>96235500000</v>
          </cell>
          <cell r="K670">
            <v>124417180000</v>
          </cell>
          <cell r="M670">
            <v>14986240000</v>
          </cell>
          <cell r="O670">
            <v>14986240000</v>
          </cell>
          <cell r="P670">
            <v>343953000</v>
          </cell>
          <cell r="R670">
            <v>343953000</v>
          </cell>
          <cell r="S670">
            <v>573481000</v>
          </cell>
          <cell r="U670">
            <v>573481000</v>
          </cell>
          <cell r="V670">
            <v>422026000</v>
          </cell>
          <cell r="X670">
            <v>422026000</v>
          </cell>
          <cell r="AK670">
            <v>22129187</v>
          </cell>
          <cell r="AL670">
            <v>476280</v>
          </cell>
        </row>
        <row r="671">
          <cell r="B671">
            <v>44490</v>
          </cell>
          <cell r="C671">
            <v>57193835000</v>
          </cell>
          <cell r="G671">
            <v>57193835000</v>
          </cell>
          <cell r="H671">
            <v>15442335</v>
          </cell>
          <cell r="I671">
            <v>2563000</v>
          </cell>
          <cell r="J671">
            <v>15187400000</v>
          </cell>
          <cell r="K671">
            <v>15189963000</v>
          </cell>
          <cell r="M671">
            <v>38000000</v>
          </cell>
          <cell r="O671">
            <v>38000000</v>
          </cell>
          <cell r="P671">
            <v>839480000</v>
          </cell>
          <cell r="R671">
            <v>839480000</v>
          </cell>
          <cell r="S671">
            <v>615035000</v>
          </cell>
          <cell r="U671">
            <v>615035000</v>
          </cell>
          <cell r="V671">
            <v>2411617000</v>
          </cell>
          <cell r="X671">
            <v>2411617000</v>
          </cell>
          <cell r="AK671">
            <v>3155655</v>
          </cell>
          <cell r="AL671">
            <v>212160</v>
          </cell>
        </row>
        <row r="672">
          <cell r="C672">
            <v>352324720000</v>
          </cell>
          <cell r="D672">
            <v>49866645000</v>
          </cell>
          <cell r="E672">
            <v>0</v>
          </cell>
          <cell r="F672">
            <v>0</v>
          </cell>
          <cell r="G672">
            <v>402191365000</v>
          </cell>
          <cell r="H672">
            <v>108591669</v>
          </cell>
          <cell r="I672">
            <v>30812828000</v>
          </cell>
          <cell r="J672">
            <v>156987400000</v>
          </cell>
          <cell r="K672">
            <v>187800228000</v>
          </cell>
          <cell r="L672">
            <v>0</v>
          </cell>
          <cell r="M672">
            <v>21471779000</v>
          </cell>
          <cell r="N672">
            <v>0</v>
          </cell>
          <cell r="O672">
            <v>21471779000</v>
          </cell>
          <cell r="P672">
            <v>2130863000</v>
          </cell>
          <cell r="Q672">
            <v>0</v>
          </cell>
          <cell r="R672">
            <v>2130863000</v>
          </cell>
          <cell r="S672">
            <v>3239305000</v>
          </cell>
          <cell r="T672">
            <v>0</v>
          </cell>
          <cell r="U672">
            <v>3239305000</v>
          </cell>
          <cell r="V672">
            <v>3971024000</v>
          </cell>
          <cell r="W672">
            <v>2873034000</v>
          </cell>
          <cell r="X672">
            <v>6844058000</v>
          </cell>
          <cell r="AK672">
            <v>35430464</v>
          </cell>
          <cell r="AL672">
            <v>1670040</v>
          </cell>
        </row>
        <row r="673">
          <cell r="B673">
            <v>44491</v>
          </cell>
          <cell r="C673">
            <v>33310390000</v>
          </cell>
          <cell r="D673">
            <v>29209645000</v>
          </cell>
          <cell r="G673">
            <v>62520035000</v>
          </cell>
          <cell r="H673">
            <v>16880409</v>
          </cell>
          <cell r="I673">
            <v>2508000</v>
          </cell>
          <cell r="K673">
            <v>2508000</v>
          </cell>
          <cell r="M673">
            <v>1602428000</v>
          </cell>
          <cell r="O673">
            <v>1602428000</v>
          </cell>
          <cell r="P673">
            <v>861559000</v>
          </cell>
          <cell r="R673">
            <v>861559000</v>
          </cell>
          <cell r="S673">
            <v>808662000</v>
          </cell>
          <cell r="U673">
            <v>808662000</v>
          </cell>
          <cell r="V673">
            <v>272605000</v>
          </cell>
          <cell r="X673">
            <v>272605000</v>
          </cell>
          <cell r="AK673">
            <v>383158</v>
          </cell>
          <cell r="AL673">
            <v>157860</v>
          </cell>
        </row>
        <row r="674">
          <cell r="B674">
            <v>44494</v>
          </cell>
          <cell r="C674">
            <v>61340390000</v>
          </cell>
          <cell r="D674">
            <v>9775130000</v>
          </cell>
          <cell r="G674">
            <v>71115520000</v>
          </cell>
          <cell r="H674">
            <v>19201190</v>
          </cell>
          <cell r="I674">
            <v>10686220000</v>
          </cell>
          <cell r="J674">
            <v>6249500000</v>
          </cell>
          <cell r="K674">
            <v>16935720000</v>
          </cell>
          <cell r="M674">
            <v>11683461000</v>
          </cell>
          <cell r="N674">
            <v>1293696000</v>
          </cell>
          <cell r="O674">
            <v>12977157000</v>
          </cell>
          <cell r="P674">
            <v>964949000</v>
          </cell>
          <cell r="R674">
            <v>964949000</v>
          </cell>
          <cell r="S674">
            <v>659912000</v>
          </cell>
          <cell r="U674">
            <v>659912000</v>
          </cell>
          <cell r="V674">
            <v>2506204000</v>
          </cell>
          <cell r="X674">
            <v>2506204000</v>
          </cell>
          <cell r="AK674">
            <v>4219856</v>
          </cell>
          <cell r="AL674">
            <v>131460</v>
          </cell>
        </row>
        <row r="675">
          <cell r="B675">
            <v>44495</v>
          </cell>
          <cell r="C675">
            <v>106178070000</v>
          </cell>
          <cell r="G675">
            <v>106178070000</v>
          </cell>
          <cell r="H675">
            <v>28668079</v>
          </cell>
          <cell r="I675">
            <v>1212536000</v>
          </cell>
          <cell r="J675">
            <v>52308950000</v>
          </cell>
          <cell r="K675">
            <v>53521486000</v>
          </cell>
          <cell r="M675">
            <v>15364666000</v>
          </cell>
          <cell r="O675">
            <v>15364666000</v>
          </cell>
          <cell r="P675">
            <v>2202028000</v>
          </cell>
          <cell r="R675">
            <v>2202028000</v>
          </cell>
          <cell r="S675">
            <v>591887000</v>
          </cell>
          <cell r="U675">
            <v>591887000</v>
          </cell>
          <cell r="V675">
            <v>605799000</v>
          </cell>
          <cell r="X675">
            <v>605799000</v>
          </cell>
          <cell r="AK675">
            <v>11573118</v>
          </cell>
          <cell r="AL675">
            <v>588960</v>
          </cell>
        </row>
        <row r="676">
          <cell r="B676">
            <v>44496</v>
          </cell>
          <cell r="C676">
            <v>177967760000</v>
          </cell>
          <cell r="G676">
            <v>177967760000</v>
          </cell>
          <cell r="H676">
            <v>48051295</v>
          </cell>
          <cell r="I676">
            <v>26802919000</v>
          </cell>
          <cell r="J676">
            <v>152423850000</v>
          </cell>
          <cell r="K676">
            <v>179226769000</v>
          </cell>
          <cell r="M676">
            <v>12063437000</v>
          </cell>
          <cell r="O676">
            <v>12063437000</v>
          </cell>
          <cell r="P676">
            <v>308194000</v>
          </cell>
          <cell r="R676">
            <v>308194000</v>
          </cell>
          <cell r="S676">
            <v>612760000</v>
          </cell>
          <cell r="U676">
            <v>612760000</v>
          </cell>
          <cell r="V676">
            <v>3410222000</v>
          </cell>
          <cell r="X676">
            <v>3410222000</v>
          </cell>
          <cell r="AK676">
            <v>32101626</v>
          </cell>
          <cell r="AL676">
            <v>356820</v>
          </cell>
        </row>
        <row r="677">
          <cell r="B677">
            <v>44497</v>
          </cell>
          <cell r="C677">
            <v>22625960000</v>
          </cell>
          <cell r="D677">
            <v>17666305000</v>
          </cell>
          <cell r="G677">
            <v>40292265000</v>
          </cell>
          <cell r="H677">
            <v>10878912</v>
          </cell>
          <cell r="I677">
            <v>1008855000</v>
          </cell>
          <cell r="K677">
            <v>1008855000</v>
          </cell>
          <cell r="M677">
            <v>3925149000</v>
          </cell>
          <cell r="O677">
            <v>3925149000</v>
          </cell>
          <cell r="P677">
            <v>1434038000</v>
          </cell>
          <cell r="R677">
            <v>1434038000</v>
          </cell>
          <cell r="S677">
            <v>729091000</v>
          </cell>
          <cell r="U677">
            <v>729091000</v>
          </cell>
          <cell r="V677">
            <v>2991823000</v>
          </cell>
          <cell r="X677">
            <v>2991823000</v>
          </cell>
          <cell r="AK677">
            <v>1089607</v>
          </cell>
          <cell r="AL677">
            <v>97830</v>
          </cell>
        </row>
        <row r="678">
          <cell r="C678">
            <v>401422570000</v>
          </cell>
          <cell r="D678">
            <v>56651080000</v>
          </cell>
          <cell r="E678">
            <v>0</v>
          </cell>
          <cell r="F678">
            <v>0</v>
          </cell>
          <cell r="G678">
            <v>458073650000</v>
          </cell>
          <cell r="H678">
            <v>123679885</v>
          </cell>
          <cell r="I678">
            <v>39713038000</v>
          </cell>
          <cell r="J678">
            <v>210982300000</v>
          </cell>
          <cell r="K678">
            <v>250695338000</v>
          </cell>
          <cell r="L678">
            <v>0</v>
          </cell>
          <cell r="M678">
            <v>44639141000</v>
          </cell>
          <cell r="N678">
            <v>1293696000</v>
          </cell>
          <cell r="O678">
            <v>45932837000</v>
          </cell>
          <cell r="P678">
            <v>5770768000</v>
          </cell>
          <cell r="Q678">
            <v>0</v>
          </cell>
          <cell r="R678">
            <v>5770768000</v>
          </cell>
          <cell r="S678">
            <v>3402312000</v>
          </cell>
          <cell r="T678">
            <v>0</v>
          </cell>
          <cell r="U678">
            <v>3402312000</v>
          </cell>
          <cell r="V678">
            <v>9786653000</v>
          </cell>
          <cell r="W678">
            <v>0</v>
          </cell>
          <cell r="X678">
            <v>9786653000</v>
          </cell>
          <cell r="AK678">
            <v>49367365</v>
          </cell>
          <cell r="AL678">
            <v>1332930</v>
          </cell>
        </row>
        <row r="679">
          <cell r="B679">
            <v>44498</v>
          </cell>
          <cell r="C679">
            <v>36171920000</v>
          </cell>
          <cell r="G679">
            <v>36171920000</v>
          </cell>
          <cell r="H679">
            <v>9766418</v>
          </cell>
          <cell r="I679">
            <v>1257971000</v>
          </cell>
          <cell r="K679">
            <v>1257971000</v>
          </cell>
          <cell r="M679">
            <v>1982835000</v>
          </cell>
          <cell r="O679">
            <v>1982835000</v>
          </cell>
          <cell r="P679">
            <v>827567000</v>
          </cell>
          <cell r="R679">
            <v>827567000</v>
          </cell>
          <cell r="S679">
            <v>662455000</v>
          </cell>
          <cell r="U679">
            <v>662455000</v>
          </cell>
          <cell r="V679">
            <v>3671417000</v>
          </cell>
          <cell r="X679">
            <v>3671417000</v>
          </cell>
          <cell r="AK679">
            <v>907442</v>
          </cell>
          <cell r="AL679">
            <v>137010</v>
          </cell>
        </row>
        <row r="680">
          <cell r="B680">
            <v>44501</v>
          </cell>
          <cell r="C680">
            <v>73489860000</v>
          </cell>
          <cell r="D680">
            <v>52331880000</v>
          </cell>
          <cell r="G680">
            <v>125821740000</v>
          </cell>
          <cell r="H680">
            <v>33971870</v>
          </cell>
          <cell r="I680">
            <v>10107703000</v>
          </cell>
          <cell r="K680">
            <v>10107703000</v>
          </cell>
          <cell r="M680">
            <v>28468781000</v>
          </cell>
          <cell r="O680">
            <v>28468781000</v>
          </cell>
          <cell r="P680">
            <v>613522000</v>
          </cell>
          <cell r="R680">
            <v>613522000</v>
          </cell>
          <cell r="S680">
            <v>973121000</v>
          </cell>
          <cell r="U680">
            <v>973121000</v>
          </cell>
          <cell r="V680">
            <v>244598000</v>
          </cell>
          <cell r="X680">
            <v>244598000</v>
          </cell>
          <cell r="AK680">
            <v>4364034</v>
          </cell>
          <cell r="AL680">
            <v>457860</v>
          </cell>
        </row>
        <row r="681">
          <cell r="B681">
            <v>44502</v>
          </cell>
          <cell r="C681">
            <v>90110560000</v>
          </cell>
          <cell r="D681">
            <v>405540000</v>
          </cell>
          <cell r="G681">
            <v>90516100000</v>
          </cell>
          <cell r="H681">
            <v>24439347</v>
          </cell>
          <cell r="I681">
            <v>9741795000</v>
          </cell>
          <cell r="J681">
            <v>2758428000</v>
          </cell>
          <cell r="K681">
            <v>12500223000</v>
          </cell>
          <cell r="M681">
            <v>13054835000</v>
          </cell>
          <cell r="O681">
            <v>13054835000</v>
          </cell>
          <cell r="P681">
            <v>239081000</v>
          </cell>
          <cell r="R681">
            <v>239081000</v>
          </cell>
          <cell r="S681">
            <v>639720000</v>
          </cell>
          <cell r="U681">
            <v>639720000</v>
          </cell>
          <cell r="V681">
            <v>3466522000</v>
          </cell>
          <cell r="X681">
            <v>3466522000</v>
          </cell>
          <cell r="AK681">
            <v>3427848</v>
          </cell>
          <cell r="AL681">
            <v>215310</v>
          </cell>
        </row>
        <row r="682">
          <cell r="B682">
            <v>44503</v>
          </cell>
          <cell r="C682">
            <v>110506995000</v>
          </cell>
          <cell r="G682">
            <v>110506995000</v>
          </cell>
          <cell r="H682">
            <v>29836889</v>
          </cell>
          <cell r="I682">
            <v>148845000</v>
          </cell>
          <cell r="K682">
            <v>148845000</v>
          </cell>
          <cell r="M682">
            <v>11465723000</v>
          </cell>
          <cell r="O682">
            <v>11465723000</v>
          </cell>
          <cell r="P682">
            <v>1775902000</v>
          </cell>
          <cell r="R682">
            <v>1775902000</v>
          </cell>
          <cell r="S682">
            <v>656132000</v>
          </cell>
          <cell r="U682">
            <v>656132000</v>
          </cell>
          <cell r="V682">
            <v>561522000</v>
          </cell>
          <cell r="X682">
            <v>561522000</v>
          </cell>
          <cell r="AK682">
            <v>1577677</v>
          </cell>
          <cell r="AL682">
            <v>503820</v>
          </cell>
        </row>
        <row r="683">
          <cell r="B683">
            <v>44504</v>
          </cell>
          <cell r="C683">
            <v>58863600000</v>
          </cell>
          <cell r="G683">
            <v>58863600000</v>
          </cell>
          <cell r="H683">
            <v>15893172</v>
          </cell>
          <cell r="I683">
            <v>17347896000</v>
          </cell>
          <cell r="K683">
            <v>17347896000</v>
          </cell>
          <cell r="M683">
            <v>11814861000</v>
          </cell>
          <cell r="O683">
            <v>11814861000</v>
          </cell>
          <cell r="P683">
            <v>161608000</v>
          </cell>
          <cell r="R683">
            <v>161608000</v>
          </cell>
          <cell r="S683">
            <v>638480000</v>
          </cell>
          <cell r="U683">
            <v>638480000</v>
          </cell>
          <cell r="V683">
            <v>24564000</v>
          </cell>
          <cell r="X683">
            <v>24564000</v>
          </cell>
          <cell r="AK683">
            <v>3238640</v>
          </cell>
          <cell r="AL683">
            <v>245670</v>
          </cell>
        </row>
        <row r="684">
          <cell r="C684">
            <v>369142935000</v>
          </cell>
          <cell r="D684">
            <v>52737420000</v>
          </cell>
          <cell r="E684">
            <v>0</v>
          </cell>
          <cell r="F684">
            <v>0</v>
          </cell>
          <cell r="G684">
            <v>421880355000</v>
          </cell>
          <cell r="H684">
            <v>113907696</v>
          </cell>
          <cell r="I684">
            <v>38604210000</v>
          </cell>
          <cell r="J684">
            <v>2758428000</v>
          </cell>
          <cell r="K684">
            <v>41362638000</v>
          </cell>
          <cell r="L684">
            <v>0</v>
          </cell>
          <cell r="M684">
            <v>66787035000</v>
          </cell>
          <cell r="N684">
            <v>0</v>
          </cell>
          <cell r="O684">
            <v>66787035000</v>
          </cell>
          <cell r="P684">
            <v>3617680000</v>
          </cell>
          <cell r="Q684">
            <v>0</v>
          </cell>
          <cell r="R684">
            <v>3617680000</v>
          </cell>
          <cell r="S684">
            <v>3569908000</v>
          </cell>
          <cell r="T684">
            <v>0</v>
          </cell>
          <cell r="U684">
            <v>3569908000</v>
          </cell>
          <cell r="V684">
            <v>7968623000</v>
          </cell>
          <cell r="W684">
            <v>0</v>
          </cell>
          <cell r="X684">
            <v>7968623000</v>
          </cell>
          <cell r="AK684">
            <v>13515641</v>
          </cell>
          <cell r="AL684">
            <v>1559670</v>
          </cell>
        </row>
        <row r="685">
          <cell r="B685">
            <v>44505</v>
          </cell>
          <cell r="C685">
            <v>42519660000</v>
          </cell>
          <cell r="G685">
            <v>42519660000</v>
          </cell>
          <cell r="H685">
            <v>11480308</v>
          </cell>
          <cell r="I685">
            <v>1035298000</v>
          </cell>
          <cell r="K685">
            <v>1035298000</v>
          </cell>
          <cell r="M685">
            <v>3960077000</v>
          </cell>
          <cell r="O685">
            <v>3960077000</v>
          </cell>
          <cell r="P685">
            <v>87660000</v>
          </cell>
          <cell r="R685">
            <v>87660000</v>
          </cell>
          <cell r="S685">
            <v>613195000</v>
          </cell>
          <cell r="U685">
            <v>613195000</v>
          </cell>
          <cell r="V685">
            <v>56728000</v>
          </cell>
          <cell r="X685">
            <v>56728000</v>
          </cell>
          <cell r="AK685">
            <v>621321</v>
          </cell>
          <cell r="AL685">
            <v>102720</v>
          </cell>
        </row>
        <row r="686">
          <cell r="B686">
            <v>44508</v>
          </cell>
          <cell r="C686">
            <v>36735195000</v>
          </cell>
          <cell r="G686">
            <v>36735195000</v>
          </cell>
          <cell r="H686">
            <v>9918503</v>
          </cell>
          <cell r="I686">
            <v>4115834000</v>
          </cell>
          <cell r="K686">
            <v>4115834000</v>
          </cell>
          <cell r="M686">
            <v>6403745000</v>
          </cell>
          <cell r="O686">
            <v>6403745000</v>
          </cell>
          <cell r="P686">
            <v>3904753000</v>
          </cell>
          <cell r="R686">
            <v>3904753000</v>
          </cell>
          <cell r="S686">
            <v>651405000</v>
          </cell>
          <cell r="U686">
            <v>651405000</v>
          </cell>
          <cell r="V686">
            <v>400836000</v>
          </cell>
          <cell r="X686">
            <v>400836000</v>
          </cell>
          <cell r="AK686">
            <v>1671470</v>
          </cell>
          <cell r="AL686">
            <v>178950</v>
          </cell>
        </row>
        <row r="687">
          <cell r="B687">
            <v>44509</v>
          </cell>
          <cell r="C687">
            <v>66719290000</v>
          </cell>
          <cell r="G687">
            <v>66719290000</v>
          </cell>
          <cell r="H687">
            <v>18014208</v>
          </cell>
          <cell r="I687">
            <v>8155230000</v>
          </cell>
          <cell r="K687">
            <v>8155230000</v>
          </cell>
          <cell r="M687">
            <v>6572106000</v>
          </cell>
          <cell r="O687">
            <v>6572106000</v>
          </cell>
          <cell r="P687">
            <v>352917000</v>
          </cell>
          <cell r="R687">
            <v>352917000</v>
          </cell>
          <cell r="S687">
            <v>809935000</v>
          </cell>
          <cell r="U687">
            <v>809935000</v>
          </cell>
          <cell r="V687">
            <v>404470000</v>
          </cell>
          <cell r="X687">
            <v>404470000</v>
          </cell>
          <cell r="AK687">
            <v>1759823</v>
          </cell>
          <cell r="AL687">
            <v>503700</v>
          </cell>
        </row>
        <row r="688">
          <cell r="B688">
            <v>44510</v>
          </cell>
          <cell r="C688">
            <v>34323575000</v>
          </cell>
          <cell r="E688">
            <v>3987325000</v>
          </cell>
          <cell r="G688">
            <v>38310900000</v>
          </cell>
          <cell r="H688">
            <v>10343943</v>
          </cell>
          <cell r="I688">
            <v>3271610000</v>
          </cell>
          <cell r="K688">
            <v>3271610000</v>
          </cell>
          <cell r="M688">
            <v>5722884000</v>
          </cell>
          <cell r="O688">
            <v>5722884000</v>
          </cell>
          <cell r="P688">
            <v>1240936000</v>
          </cell>
          <cell r="R688">
            <v>1240936000</v>
          </cell>
          <cell r="S688">
            <v>693598000</v>
          </cell>
          <cell r="U688">
            <v>693598000</v>
          </cell>
          <cell r="V688">
            <v>340965000</v>
          </cell>
          <cell r="X688">
            <v>340965000</v>
          </cell>
          <cell r="AK688">
            <v>1217159</v>
          </cell>
          <cell r="AL688">
            <v>57240</v>
          </cell>
        </row>
        <row r="689">
          <cell r="B689">
            <v>44511</v>
          </cell>
          <cell r="C689">
            <v>136768585000</v>
          </cell>
          <cell r="D689">
            <v>13305175000</v>
          </cell>
          <cell r="G689">
            <v>150073760000</v>
          </cell>
          <cell r="H689">
            <v>40519915</v>
          </cell>
          <cell r="I689">
            <v>18454884000</v>
          </cell>
          <cell r="K689">
            <v>18454884000</v>
          </cell>
          <cell r="M689">
            <v>8371826000</v>
          </cell>
          <cell r="O689">
            <v>8371826000</v>
          </cell>
          <cell r="P689">
            <v>545878000</v>
          </cell>
          <cell r="Q689">
            <v>2049000000</v>
          </cell>
          <cell r="R689">
            <v>2594878000</v>
          </cell>
          <cell r="S689">
            <v>863152000</v>
          </cell>
          <cell r="U689">
            <v>863152000</v>
          </cell>
          <cell r="V689">
            <v>327023000</v>
          </cell>
          <cell r="X689">
            <v>327023000</v>
          </cell>
          <cell r="AK689">
            <v>3453598</v>
          </cell>
          <cell r="AL689">
            <v>625500</v>
          </cell>
        </row>
        <row r="690">
          <cell r="C690">
            <v>317066305000</v>
          </cell>
          <cell r="D690">
            <v>13305175000</v>
          </cell>
          <cell r="E690">
            <v>3987325000</v>
          </cell>
          <cell r="F690">
            <v>0</v>
          </cell>
          <cell r="G690">
            <v>334358805000</v>
          </cell>
          <cell r="H690">
            <v>90276877</v>
          </cell>
          <cell r="I690">
            <v>35032856000</v>
          </cell>
          <cell r="J690">
            <v>0</v>
          </cell>
          <cell r="K690">
            <v>35032856000</v>
          </cell>
          <cell r="L690">
            <v>0</v>
          </cell>
          <cell r="M690">
            <v>31030638000</v>
          </cell>
          <cell r="N690">
            <v>0</v>
          </cell>
          <cell r="O690">
            <v>31030638000</v>
          </cell>
          <cell r="P690">
            <v>6132144000</v>
          </cell>
          <cell r="Q690">
            <v>2049000000</v>
          </cell>
          <cell r="R690">
            <v>8181144000</v>
          </cell>
          <cell r="S690">
            <v>3631285000</v>
          </cell>
          <cell r="T690">
            <v>0</v>
          </cell>
          <cell r="U690">
            <v>3631285000</v>
          </cell>
          <cell r="V690">
            <v>1530022000</v>
          </cell>
          <cell r="W690">
            <v>0</v>
          </cell>
          <cell r="X690">
            <v>1530022000</v>
          </cell>
          <cell r="AK690">
            <v>8723371</v>
          </cell>
          <cell r="AL690">
            <v>1468110</v>
          </cell>
        </row>
        <row r="691">
          <cell r="B691">
            <v>44512</v>
          </cell>
          <cell r="C691">
            <v>22027490000</v>
          </cell>
          <cell r="G691">
            <v>22027490000</v>
          </cell>
          <cell r="H691">
            <v>5947422</v>
          </cell>
          <cell r="I691">
            <v>12385216000</v>
          </cell>
          <cell r="J691">
            <v>2538000000</v>
          </cell>
          <cell r="K691">
            <v>14923216000</v>
          </cell>
          <cell r="M691">
            <v>3179496000</v>
          </cell>
          <cell r="O691">
            <v>3179496000</v>
          </cell>
          <cell r="P691">
            <v>501462000</v>
          </cell>
          <cell r="R691">
            <v>501462000</v>
          </cell>
          <cell r="S691">
            <v>678591000</v>
          </cell>
          <cell r="U691">
            <v>678591000</v>
          </cell>
          <cell r="V691">
            <v>184052000</v>
          </cell>
          <cell r="X691">
            <v>184052000</v>
          </cell>
          <cell r="AK691">
            <v>2285152</v>
          </cell>
          <cell r="AL691">
            <v>122700</v>
          </cell>
        </row>
        <row r="692">
          <cell r="B692">
            <v>44515</v>
          </cell>
          <cell r="C692">
            <v>61658730000</v>
          </cell>
          <cell r="G692">
            <v>61658730000</v>
          </cell>
          <cell r="H692">
            <v>16647857</v>
          </cell>
          <cell r="I692">
            <v>10318132000</v>
          </cell>
          <cell r="K692">
            <v>10318132000</v>
          </cell>
          <cell r="M692">
            <v>12058177000</v>
          </cell>
          <cell r="O692">
            <v>12058177000</v>
          </cell>
          <cell r="P692">
            <v>257246000</v>
          </cell>
          <cell r="R692">
            <v>257246000</v>
          </cell>
          <cell r="S692">
            <v>726253000</v>
          </cell>
          <cell r="U692">
            <v>726253000</v>
          </cell>
          <cell r="V692">
            <v>35958000</v>
          </cell>
          <cell r="X692">
            <v>35958000</v>
          </cell>
          <cell r="AK692">
            <v>2526743</v>
          </cell>
          <cell r="AL692">
            <v>429390</v>
          </cell>
        </row>
        <row r="693">
          <cell r="B693">
            <v>44516</v>
          </cell>
          <cell r="C693">
            <v>95091185000</v>
          </cell>
          <cell r="G693">
            <v>95091185000</v>
          </cell>
          <cell r="H693">
            <v>25674620</v>
          </cell>
          <cell r="I693">
            <v>14275558000</v>
          </cell>
          <cell r="K693">
            <v>14275558000</v>
          </cell>
          <cell r="M693">
            <v>23726460000</v>
          </cell>
          <cell r="O693">
            <v>23726460000</v>
          </cell>
          <cell r="P693">
            <v>504178000</v>
          </cell>
          <cell r="R693">
            <v>504178000</v>
          </cell>
          <cell r="S693">
            <v>731050000</v>
          </cell>
          <cell r="U693">
            <v>731050000</v>
          </cell>
          <cell r="V693">
            <v>222088000</v>
          </cell>
          <cell r="X693">
            <v>222088000</v>
          </cell>
          <cell r="AK693">
            <v>4261608</v>
          </cell>
          <cell r="AL693">
            <v>535740</v>
          </cell>
        </row>
        <row r="694">
          <cell r="B694">
            <v>44517</v>
          </cell>
          <cell r="C694">
            <v>42908175000</v>
          </cell>
          <cell r="D694">
            <v>2858010000</v>
          </cell>
          <cell r="G694">
            <v>45766185000</v>
          </cell>
          <cell r="H694">
            <v>12356870</v>
          </cell>
          <cell r="I694">
            <v>1672683000</v>
          </cell>
          <cell r="J694">
            <v>93606100000</v>
          </cell>
          <cell r="K694">
            <v>95278783000</v>
          </cell>
          <cell r="M694">
            <v>12747738000</v>
          </cell>
          <cell r="O694">
            <v>12747738000</v>
          </cell>
          <cell r="P694">
            <v>291800000</v>
          </cell>
          <cell r="R694">
            <v>291800000</v>
          </cell>
          <cell r="S694">
            <v>753212000</v>
          </cell>
          <cell r="U694">
            <v>753212000</v>
          </cell>
          <cell r="V694">
            <v>37577000</v>
          </cell>
          <cell r="X694">
            <v>37577000</v>
          </cell>
          <cell r="AK694">
            <v>18523423</v>
          </cell>
          <cell r="AL694">
            <v>122940</v>
          </cell>
        </row>
        <row r="695">
          <cell r="B695">
            <v>44518</v>
          </cell>
          <cell r="C695">
            <v>33970430000</v>
          </cell>
          <cell r="G695">
            <v>33970430000</v>
          </cell>
          <cell r="H695">
            <v>9172016</v>
          </cell>
          <cell r="I695">
            <v>10179994000</v>
          </cell>
          <cell r="J695">
            <v>17804000000</v>
          </cell>
          <cell r="K695">
            <v>27983994000</v>
          </cell>
          <cell r="M695">
            <v>23701442000</v>
          </cell>
          <cell r="O695">
            <v>23701442000</v>
          </cell>
          <cell r="P695">
            <v>275460000</v>
          </cell>
          <cell r="R695">
            <v>275460000</v>
          </cell>
          <cell r="S695">
            <v>677485000</v>
          </cell>
          <cell r="U695">
            <v>677485000</v>
          </cell>
          <cell r="V695">
            <v>231619000</v>
          </cell>
          <cell r="X695">
            <v>231619000</v>
          </cell>
          <cell r="AK695">
            <v>6991848</v>
          </cell>
          <cell r="AL695">
            <v>504870</v>
          </cell>
        </row>
        <row r="696">
          <cell r="C696">
            <v>255656010000</v>
          </cell>
          <cell r="D696">
            <v>2858010000</v>
          </cell>
          <cell r="E696">
            <v>0</v>
          </cell>
          <cell r="F696">
            <v>0</v>
          </cell>
          <cell r="G696">
            <v>258514020000</v>
          </cell>
          <cell r="H696">
            <v>69798785</v>
          </cell>
          <cell r="I696">
            <v>48831583000</v>
          </cell>
          <cell r="J696">
            <v>113948100000</v>
          </cell>
          <cell r="K696">
            <v>162779683000</v>
          </cell>
          <cell r="L696">
            <v>0</v>
          </cell>
          <cell r="M696">
            <v>75413313000</v>
          </cell>
          <cell r="N696">
            <v>0</v>
          </cell>
          <cell r="O696">
            <v>75413313000</v>
          </cell>
          <cell r="P696">
            <v>1830146000</v>
          </cell>
          <cell r="Q696">
            <v>0</v>
          </cell>
          <cell r="R696">
            <v>1830146000</v>
          </cell>
          <cell r="S696">
            <v>3566591000</v>
          </cell>
          <cell r="T696">
            <v>0</v>
          </cell>
          <cell r="U696">
            <v>3566591000</v>
          </cell>
          <cell r="V696">
            <v>711294000</v>
          </cell>
          <cell r="W696">
            <v>0</v>
          </cell>
          <cell r="X696">
            <v>711294000</v>
          </cell>
          <cell r="AK696">
            <v>34588774</v>
          </cell>
          <cell r="AL696">
            <v>1715640</v>
          </cell>
        </row>
        <row r="697">
          <cell r="B697">
            <v>44519</v>
          </cell>
          <cell r="C697">
            <v>87929735000</v>
          </cell>
          <cell r="D697">
            <v>3072670000</v>
          </cell>
          <cell r="G697">
            <v>91002405000</v>
          </cell>
          <cell r="H697">
            <v>24570649</v>
          </cell>
          <cell r="I697">
            <v>11580473000</v>
          </cell>
          <cell r="J697">
            <v>17555000000</v>
          </cell>
          <cell r="K697">
            <v>29135473000</v>
          </cell>
          <cell r="M697">
            <v>21606556000</v>
          </cell>
          <cell r="O697">
            <v>21606556000</v>
          </cell>
          <cell r="P697">
            <v>761327000</v>
          </cell>
          <cell r="R697">
            <v>761327000</v>
          </cell>
          <cell r="S697">
            <v>794072000</v>
          </cell>
          <cell r="U697">
            <v>794072000</v>
          </cell>
          <cell r="V697">
            <v>200466000</v>
          </cell>
          <cell r="X697">
            <v>200466000</v>
          </cell>
          <cell r="AK697">
            <v>6933733</v>
          </cell>
          <cell r="AL697">
            <v>407550</v>
          </cell>
        </row>
        <row r="698">
          <cell r="B698">
            <v>44522</v>
          </cell>
          <cell r="C698">
            <v>82534915000</v>
          </cell>
          <cell r="D698">
            <v>22363920000</v>
          </cell>
          <cell r="G698">
            <v>104898835000</v>
          </cell>
          <cell r="H698">
            <v>28322685</v>
          </cell>
          <cell r="I698">
            <v>6586117000</v>
          </cell>
          <cell r="J698">
            <v>43285400000</v>
          </cell>
          <cell r="K698">
            <v>49871517000</v>
          </cell>
          <cell r="M698">
            <v>16454839000</v>
          </cell>
          <cell r="O698">
            <v>16454839000</v>
          </cell>
          <cell r="P698">
            <v>1209366000</v>
          </cell>
          <cell r="R698">
            <v>1209366000</v>
          </cell>
          <cell r="S698">
            <v>701584000</v>
          </cell>
          <cell r="U698">
            <v>701584000</v>
          </cell>
          <cell r="V698">
            <v>688724000</v>
          </cell>
          <cell r="X698">
            <v>688724000</v>
          </cell>
          <cell r="AK698">
            <v>10560560</v>
          </cell>
          <cell r="AL698">
            <v>608130</v>
          </cell>
        </row>
        <row r="699">
          <cell r="B699">
            <v>44523</v>
          </cell>
          <cell r="C699">
            <v>32875435000</v>
          </cell>
          <cell r="G699">
            <v>32875435000</v>
          </cell>
          <cell r="H699">
            <v>8876367</v>
          </cell>
          <cell r="I699">
            <v>0</v>
          </cell>
          <cell r="J699">
            <v>0</v>
          </cell>
          <cell r="K699">
            <v>0</v>
          </cell>
          <cell r="M699">
            <v>13266629000</v>
          </cell>
          <cell r="O699">
            <v>13266629000</v>
          </cell>
          <cell r="P699">
            <v>761538000</v>
          </cell>
          <cell r="R699">
            <v>761538000</v>
          </cell>
          <cell r="S699">
            <v>1180474000</v>
          </cell>
          <cell r="U699">
            <v>1180474000</v>
          </cell>
          <cell r="V699">
            <v>67333000</v>
          </cell>
          <cell r="X699">
            <v>67333000</v>
          </cell>
          <cell r="AK699">
            <v>1649805</v>
          </cell>
          <cell r="AL699">
            <v>275310</v>
          </cell>
        </row>
        <row r="700">
          <cell r="B700">
            <v>44524</v>
          </cell>
          <cell r="C700">
            <v>71573960000</v>
          </cell>
          <cell r="D700">
            <v>8699325000</v>
          </cell>
          <cell r="G700">
            <v>80273285000</v>
          </cell>
          <cell r="H700">
            <v>21673787</v>
          </cell>
          <cell r="I700">
            <v>14421739000</v>
          </cell>
          <cell r="J700">
            <v>36590000000</v>
          </cell>
          <cell r="K700">
            <v>51011739000</v>
          </cell>
          <cell r="M700">
            <v>16987783000</v>
          </cell>
          <cell r="O700">
            <v>16987783000</v>
          </cell>
          <cell r="P700">
            <v>1744734000</v>
          </cell>
          <cell r="R700">
            <v>1744734000</v>
          </cell>
          <cell r="S700">
            <v>703056000</v>
          </cell>
          <cell r="U700">
            <v>703056000</v>
          </cell>
          <cell r="V700">
            <v>260970000</v>
          </cell>
          <cell r="X700">
            <v>260970000</v>
          </cell>
          <cell r="AK700">
            <v>10270974</v>
          </cell>
          <cell r="AL700">
            <v>403110</v>
          </cell>
        </row>
        <row r="701">
          <cell r="B701">
            <v>44525</v>
          </cell>
          <cell r="C701">
            <v>68715510000</v>
          </cell>
          <cell r="D701">
            <v>8771255000</v>
          </cell>
          <cell r="G701">
            <v>77486765000</v>
          </cell>
          <cell r="H701">
            <v>20921427</v>
          </cell>
          <cell r="I701">
            <v>13553052000</v>
          </cell>
          <cell r="J701">
            <v>10574000000</v>
          </cell>
          <cell r="K701">
            <v>24127052000</v>
          </cell>
          <cell r="M701">
            <v>15482883000</v>
          </cell>
          <cell r="O701">
            <v>15482883000</v>
          </cell>
          <cell r="P701">
            <v>3169380000</v>
          </cell>
          <cell r="R701">
            <v>3169380000</v>
          </cell>
          <cell r="S701">
            <v>730553000</v>
          </cell>
          <cell r="U701">
            <v>730553000</v>
          </cell>
          <cell r="V701">
            <v>305154000</v>
          </cell>
          <cell r="X701">
            <v>305154000</v>
          </cell>
          <cell r="AK701">
            <v>5493350</v>
          </cell>
          <cell r="AL701">
            <v>368670</v>
          </cell>
        </row>
        <row r="702">
          <cell r="C702">
            <v>343629555000</v>
          </cell>
          <cell r="D702">
            <v>42907170000</v>
          </cell>
          <cell r="E702">
            <v>0</v>
          </cell>
          <cell r="F702">
            <v>0</v>
          </cell>
          <cell r="G702">
            <v>386536725000</v>
          </cell>
          <cell r="H702">
            <v>104364915</v>
          </cell>
          <cell r="I702">
            <v>46141381000</v>
          </cell>
          <cell r="J702">
            <v>108004400000</v>
          </cell>
          <cell r="K702">
            <v>154145781000</v>
          </cell>
          <cell r="L702">
            <v>0</v>
          </cell>
          <cell r="M702">
            <v>83798690000</v>
          </cell>
          <cell r="N702">
            <v>0</v>
          </cell>
          <cell r="O702">
            <v>83798690000</v>
          </cell>
          <cell r="P702">
            <v>7646345000</v>
          </cell>
          <cell r="Q702">
            <v>0</v>
          </cell>
          <cell r="R702">
            <v>7646345000</v>
          </cell>
          <cell r="S702">
            <v>4109739000</v>
          </cell>
          <cell r="T702">
            <v>0</v>
          </cell>
          <cell r="U702">
            <v>4109739000</v>
          </cell>
          <cell r="V702">
            <v>1522647000</v>
          </cell>
          <cell r="W702">
            <v>0</v>
          </cell>
          <cell r="X702">
            <v>1522647000</v>
          </cell>
          <cell r="AK702">
            <v>34908422</v>
          </cell>
          <cell r="AL702">
            <v>2062770</v>
          </cell>
        </row>
        <row r="703">
          <cell r="B703">
            <v>44526</v>
          </cell>
          <cell r="C703">
            <v>28257110000</v>
          </cell>
          <cell r="D703">
            <v>12958850000</v>
          </cell>
          <cell r="G703">
            <v>41215960000</v>
          </cell>
          <cell r="H703">
            <v>11128309</v>
          </cell>
          <cell r="I703">
            <v>10540145000</v>
          </cell>
          <cell r="J703">
            <v>21240000000</v>
          </cell>
          <cell r="K703">
            <v>31780145000</v>
          </cell>
          <cell r="M703">
            <v>4144087000</v>
          </cell>
          <cell r="O703">
            <v>4144087000</v>
          </cell>
          <cell r="P703">
            <v>3220483000</v>
          </cell>
          <cell r="R703">
            <v>3220483000</v>
          </cell>
          <cell r="S703">
            <v>1261751000</v>
          </cell>
          <cell r="U703">
            <v>1261751000</v>
          </cell>
          <cell r="V703">
            <v>295636000</v>
          </cell>
          <cell r="X703">
            <v>295636000</v>
          </cell>
          <cell r="AK703">
            <v>5925107</v>
          </cell>
          <cell r="AL703">
            <v>269430</v>
          </cell>
        </row>
        <row r="704">
          <cell r="B704">
            <v>44529</v>
          </cell>
          <cell r="C704">
            <v>58471520000</v>
          </cell>
          <cell r="D704">
            <v>13430790000</v>
          </cell>
          <cell r="G704">
            <v>71902310000</v>
          </cell>
          <cell r="H704">
            <v>19413624</v>
          </cell>
          <cell r="I704">
            <v>1788891000</v>
          </cell>
          <cell r="J704">
            <v>81234702000</v>
          </cell>
          <cell r="K704">
            <v>83023593000</v>
          </cell>
          <cell r="M704">
            <v>25549908000</v>
          </cell>
          <cell r="O704">
            <v>25549908000</v>
          </cell>
          <cell r="P704">
            <v>1114239000</v>
          </cell>
          <cell r="R704">
            <v>1114239000</v>
          </cell>
          <cell r="S704">
            <v>967083000</v>
          </cell>
          <cell r="U704">
            <v>967083000</v>
          </cell>
          <cell r="V704">
            <v>94091000</v>
          </cell>
          <cell r="X704">
            <v>94091000</v>
          </cell>
          <cell r="AK704">
            <v>17809781</v>
          </cell>
          <cell r="AL704">
            <v>291690</v>
          </cell>
        </row>
        <row r="705">
          <cell r="B705">
            <v>44530</v>
          </cell>
          <cell r="C705">
            <v>31790035000</v>
          </cell>
          <cell r="D705">
            <v>6988165000</v>
          </cell>
          <cell r="G705">
            <v>38778200000</v>
          </cell>
          <cell r="H705">
            <v>10470114</v>
          </cell>
          <cell r="I705">
            <v>2426489000</v>
          </cell>
          <cell r="J705">
            <v>5187400000</v>
          </cell>
          <cell r="K705">
            <v>7613889000</v>
          </cell>
          <cell r="M705">
            <v>5576653000</v>
          </cell>
          <cell r="O705">
            <v>5576653000</v>
          </cell>
          <cell r="P705">
            <v>8881179000</v>
          </cell>
          <cell r="R705">
            <v>8881179000</v>
          </cell>
          <cell r="S705">
            <v>992809000</v>
          </cell>
          <cell r="U705">
            <v>992809000</v>
          </cell>
          <cell r="V705">
            <v>113495000</v>
          </cell>
          <cell r="X705">
            <v>113495000</v>
          </cell>
          <cell r="AK705">
            <v>2876720</v>
          </cell>
          <cell r="AL705">
            <v>187110</v>
          </cell>
        </row>
        <row r="706">
          <cell r="B706">
            <v>44531</v>
          </cell>
          <cell r="C706">
            <v>54169725000</v>
          </cell>
          <cell r="D706">
            <v>15825345000</v>
          </cell>
          <cell r="G706">
            <v>69995070000</v>
          </cell>
          <cell r="H706">
            <v>18898669</v>
          </cell>
          <cell r="I706">
            <v>3353108000</v>
          </cell>
          <cell r="J706">
            <v>49183500000</v>
          </cell>
          <cell r="K706">
            <v>52536608000</v>
          </cell>
          <cell r="M706">
            <v>12384240000</v>
          </cell>
          <cell r="O706">
            <v>12384240000</v>
          </cell>
          <cell r="P706">
            <v>348920000</v>
          </cell>
          <cell r="R706">
            <v>348920000</v>
          </cell>
          <cell r="S706">
            <v>640226000</v>
          </cell>
          <cell r="U706">
            <v>640226000</v>
          </cell>
          <cell r="V706">
            <v>43991000</v>
          </cell>
          <cell r="X706">
            <v>43991000</v>
          </cell>
          <cell r="AK706">
            <v>10664242</v>
          </cell>
          <cell r="AL706">
            <v>245430</v>
          </cell>
        </row>
        <row r="707">
          <cell r="B707">
            <v>44532</v>
          </cell>
          <cell r="C707">
            <v>55919500000</v>
          </cell>
          <cell r="D707">
            <v>15916340000</v>
          </cell>
          <cell r="G707">
            <v>71835840000</v>
          </cell>
          <cell r="H707">
            <v>19395677</v>
          </cell>
          <cell r="I707">
            <v>1335770000</v>
          </cell>
          <cell r="J707">
            <v>5215000000</v>
          </cell>
          <cell r="K707">
            <v>6550770000</v>
          </cell>
          <cell r="M707">
            <v>8582972000</v>
          </cell>
          <cell r="O707">
            <v>8582972000</v>
          </cell>
          <cell r="P707">
            <v>11362000</v>
          </cell>
          <cell r="R707">
            <v>11362000</v>
          </cell>
          <cell r="S707">
            <v>961268000</v>
          </cell>
          <cell r="U707">
            <v>961268000</v>
          </cell>
          <cell r="V707">
            <v>126895000</v>
          </cell>
          <cell r="X707">
            <v>126895000</v>
          </cell>
          <cell r="AK707">
            <v>2128673</v>
          </cell>
          <cell r="AL707">
            <v>335430</v>
          </cell>
        </row>
        <row r="708">
          <cell r="C708">
            <v>228607890000</v>
          </cell>
          <cell r="D708">
            <v>65119490000</v>
          </cell>
          <cell r="E708">
            <v>0</v>
          </cell>
          <cell r="F708">
            <v>0</v>
          </cell>
          <cell r="G708">
            <v>293727380000</v>
          </cell>
          <cell r="H708">
            <v>79306393</v>
          </cell>
          <cell r="I708">
            <v>19444403000</v>
          </cell>
          <cell r="J708">
            <v>162060602000</v>
          </cell>
          <cell r="K708">
            <v>181505005000</v>
          </cell>
          <cell r="L708">
            <v>0</v>
          </cell>
          <cell r="M708">
            <v>56237860000</v>
          </cell>
          <cell r="N708">
            <v>0</v>
          </cell>
          <cell r="O708">
            <v>56237860000</v>
          </cell>
          <cell r="P708">
            <v>13576183000</v>
          </cell>
          <cell r="Q708">
            <v>0</v>
          </cell>
          <cell r="R708">
            <v>13576183000</v>
          </cell>
          <cell r="S708">
            <v>4823137000</v>
          </cell>
          <cell r="T708">
            <v>0</v>
          </cell>
          <cell r="U708">
            <v>4823137000</v>
          </cell>
          <cell r="V708">
            <v>674108000</v>
          </cell>
          <cell r="W708">
            <v>0</v>
          </cell>
          <cell r="X708">
            <v>674108000</v>
          </cell>
          <cell r="AK708">
            <v>39404523</v>
          </cell>
          <cell r="AL708">
            <v>1329090</v>
          </cell>
        </row>
        <row r="709">
          <cell r="B709">
            <v>44533</v>
          </cell>
          <cell r="C709">
            <v>89145600000</v>
          </cell>
          <cell r="D709">
            <v>11649175000</v>
          </cell>
          <cell r="E709">
            <v>6111720000</v>
          </cell>
          <cell r="G709">
            <v>106906495000</v>
          </cell>
          <cell r="H709">
            <v>28864754</v>
          </cell>
          <cell r="I709">
            <v>7820349000</v>
          </cell>
          <cell r="K709">
            <v>7820349000</v>
          </cell>
          <cell r="M709">
            <v>7282408000</v>
          </cell>
          <cell r="O709">
            <v>7282408000</v>
          </cell>
          <cell r="P709">
            <v>1998795000</v>
          </cell>
          <cell r="R709">
            <v>1998795000</v>
          </cell>
          <cell r="S709">
            <v>627949000</v>
          </cell>
          <cell r="U709">
            <v>627949000</v>
          </cell>
          <cell r="V709">
            <v>95499000</v>
          </cell>
          <cell r="X709">
            <v>95499000</v>
          </cell>
          <cell r="AK709">
            <v>1925100</v>
          </cell>
          <cell r="AL709">
            <v>199380</v>
          </cell>
        </row>
        <row r="710">
          <cell r="B710">
            <v>44536</v>
          </cell>
          <cell r="C710">
            <v>113458800000</v>
          </cell>
          <cell r="D710">
            <v>16621355000</v>
          </cell>
          <cell r="G710">
            <v>130080155000</v>
          </cell>
          <cell r="H710">
            <v>35121642</v>
          </cell>
          <cell r="I710">
            <v>6187196000</v>
          </cell>
          <cell r="K710">
            <v>6187196000</v>
          </cell>
          <cell r="M710">
            <v>5716943000</v>
          </cell>
          <cell r="O710">
            <v>5716943000</v>
          </cell>
          <cell r="P710">
            <v>5931271000</v>
          </cell>
          <cell r="R710">
            <v>5931271000</v>
          </cell>
          <cell r="S710">
            <v>878967000</v>
          </cell>
          <cell r="T710">
            <v>1932000000</v>
          </cell>
          <cell r="U710">
            <v>2810967000</v>
          </cell>
          <cell r="V710">
            <v>620251000</v>
          </cell>
          <cell r="X710">
            <v>620251000</v>
          </cell>
          <cell r="AK710">
            <v>2435900</v>
          </cell>
          <cell r="AL710">
            <v>350370</v>
          </cell>
        </row>
        <row r="711">
          <cell r="B711">
            <v>44537</v>
          </cell>
          <cell r="C711">
            <v>84997925000</v>
          </cell>
          <cell r="G711">
            <v>84997925000</v>
          </cell>
          <cell r="H711">
            <v>22949440</v>
          </cell>
          <cell r="I711">
            <v>641063000</v>
          </cell>
          <cell r="J711">
            <v>13807750000</v>
          </cell>
          <cell r="K711">
            <v>14448813000</v>
          </cell>
          <cell r="M711">
            <v>5340366000</v>
          </cell>
          <cell r="O711">
            <v>5340366000</v>
          </cell>
          <cell r="P711">
            <v>3754830000</v>
          </cell>
          <cell r="R711">
            <v>3754830000</v>
          </cell>
          <cell r="S711">
            <v>779287000</v>
          </cell>
          <cell r="U711">
            <v>779287000</v>
          </cell>
          <cell r="V711">
            <v>485554000</v>
          </cell>
          <cell r="X711">
            <v>485554000</v>
          </cell>
          <cell r="AK711">
            <v>3673514</v>
          </cell>
          <cell r="AL711">
            <v>339540</v>
          </cell>
        </row>
        <row r="712">
          <cell r="B712">
            <v>44538</v>
          </cell>
          <cell r="C712">
            <v>106990766000</v>
          </cell>
          <cell r="D712">
            <v>3094650000</v>
          </cell>
          <cell r="E712">
            <v>3475380000</v>
          </cell>
          <cell r="G712">
            <v>113560796000</v>
          </cell>
          <cell r="H712">
            <v>30661415</v>
          </cell>
          <cell r="I712">
            <v>5112000</v>
          </cell>
          <cell r="J712">
            <v>59887900000</v>
          </cell>
          <cell r="K712">
            <v>59893012000</v>
          </cell>
          <cell r="M712">
            <v>10290896000</v>
          </cell>
          <cell r="O712">
            <v>10290896000</v>
          </cell>
          <cell r="P712">
            <v>1039781000</v>
          </cell>
          <cell r="R712">
            <v>1039781000</v>
          </cell>
          <cell r="S712">
            <v>757474000</v>
          </cell>
          <cell r="U712">
            <v>757474000</v>
          </cell>
          <cell r="V712">
            <v>375923000</v>
          </cell>
          <cell r="X712">
            <v>375923000</v>
          </cell>
          <cell r="AK712">
            <v>12126494</v>
          </cell>
          <cell r="AL712">
            <v>775230</v>
          </cell>
        </row>
        <row r="713">
          <cell r="B713">
            <v>44539</v>
          </cell>
          <cell r="C713">
            <v>49817935000</v>
          </cell>
          <cell r="G713">
            <v>49817935000</v>
          </cell>
          <cell r="H713">
            <v>13450842</v>
          </cell>
          <cell r="I713">
            <v>3212099000</v>
          </cell>
          <cell r="J713">
            <v>55991500000</v>
          </cell>
          <cell r="K713">
            <v>59203599000</v>
          </cell>
          <cell r="M713">
            <v>5211713000</v>
          </cell>
          <cell r="O713">
            <v>5211713000</v>
          </cell>
          <cell r="P713">
            <v>880175000</v>
          </cell>
          <cell r="R713">
            <v>880175000</v>
          </cell>
          <cell r="S713">
            <v>706696000</v>
          </cell>
          <cell r="U713">
            <v>706696000</v>
          </cell>
          <cell r="V713">
            <v>47144000</v>
          </cell>
          <cell r="X713">
            <v>47144000</v>
          </cell>
          <cell r="AK713">
            <v>11164715</v>
          </cell>
          <cell r="AL713">
            <v>456330</v>
          </cell>
        </row>
        <row r="714">
          <cell r="C714">
            <v>444411026000</v>
          </cell>
          <cell r="D714">
            <v>31365180000</v>
          </cell>
          <cell r="E714">
            <v>9587100000</v>
          </cell>
          <cell r="F714">
            <v>0</v>
          </cell>
          <cell r="G714">
            <v>485363306000</v>
          </cell>
          <cell r="H714">
            <v>131048093</v>
          </cell>
          <cell r="I714">
            <v>17865819000</v>
          </cell>
          <cell r="J714">
            <v>129687150000</v>
          </cell>
          <cell r="K714">
            <v>147552969000</v>
          </cell>
          <cell r="L714">
            <v>0</v>
          </cell>
          <cell r="M714">
            <v>33842326000</v>
          </cell>
          <cell r="N714">
            <v>0</v>
          </cell>
          <cell r="O714">
            <v>33842326000</v>
          </cell>
          <cell r="P714">
            <v>13604852000</v>
          </cell>
          <cell r="Q714">
            <v>0</v>
          </cell>
          <cell r="R714">
            <v>13604852000</v>
          </cell>
          <cell r="S714">
            <v>3750373000</v>
          </cell>
          <cell r="T714">
            <v>1932000000</v>
          </cell>
          <cell r="U714">
            <v>5682373000</v>
          </cell>
          <cell r="V714">
            <v>1624371000</v>
          </cell>
          <cell r="W714">
            <v>0</v>
          </cell>
          <cell r="X714">
            <v>1624371000</v>
          </cell>
          <cell r="AK714">
            <v>31325723</v>
          </cell>
          <cell r="AL714">
            <v>2120850</v>
          </cell>
        </row>
        <row r="715">
          <cell r="B715">
            <v>44540</v>
          </cell>
          <cell r="C715">
            <v>91764155000</v>
          </cell>
          <cell r="D715">
            <v>17029950000</v>
          </cell>
          <cell r="G715">
            <v>108794105000</v>
          </cell>
          <cell r="H715">
            <v>29374408</v>
          </cell>
          <cell r="I715">
            <v>0</v>
          </cell>
          <cell r="M715">
            <v>5614053000</v>
          </cell>
          <cell r="O715">
            <v>5614053000</v>
          </cell>
          <cell r="P715">
            <v>811703000</v>
          </cell>
          <cell r="R715">
            <v>811703000</v>
          </cell>
          <cell r="S715">
            <v>758620000</v>
          </cell>
          <cell r="U715">
            <v>758620000</v>
          </cell>
          <cell r="V715">
            <v>43535000</v>
          </cell>
          <cell r="X715">
            <v>43535000</v>
          </cell>
          <cell r="AK715">
            <v>780614</v>
          </cell>
          <cell r="AL715">
            <v>422370</v>
          </cell>
        </row>
        <row r="716">
          <cell r="B716">
            <v>44543</v>
          </cell>
          <cell r="C716">
            <v>67981385000</v>
          </cell>
          <cell r="D716">
            <v>17812960000</v>
          </cell>
          <cell r="G716">
            <v>85794345000</v>
          </cell>
          <cell r="H716">
            <v>23164473</v>
          </cell>
          <cell r="I716">
            <v>15591000</v>
          </cell>
          <cell r="K716">
            <v>15591000</v>
          </cell>
          <cell r="M716">
            <v>3866383000</v>
          </cell>
          <cell r="O716">
            <v>3866383000</v>
          </cell>
          <cell r="P716">
            <v>3370579000</v>
          </cell>
          <cell r="R716">
            <v>3370579000</v>
          </cell>
          <cell r="S716">
            <v>871967000</v>
          </cell>
          <cell r="T716">
            <v>1979500000</v>
          </cell>
          <cell r="U716">
            <v>2851467000</v>
          </cell>
          <cell r="V716">
            <v>243782000</v>
          </cell>
          <cell r="X716">
            <v>243782000</v>
          </cell>
          <cell r="AK716">
            <v>1260087</v>
          </cell>
          <cell r="AL716">
            <v>269580</v>
          </cell>
        </row>
        <row r="717">
          <cell r="B717">
            <v>44544</v>
          </cell>
          <cell r="C717">
            <v>46284205000</v>
          </cell>
          <cell r="G717">
            <v>46284205000</v>
          </cell>
          <cell r="H717">
            <v>12496735</v>
          </cell>
          <cell r="I717">
            <v>0</v>
          </cell>
          <cell r="M717">
            <v>8301000</v>
          </cell>
          <cell r="O717">
            <v>8301000</v>
          </cell>
          <cell r="P717">
            <v>2084440000</v>
          </cell>
          <cell r="R717">
            <v>2084440000</v>
          </cell>
          <cell r="S717">
            <v>712668000</v>
          </cell>
          <cell r="U717">
            <v>712668000</v>
          </cell>
          <cell r="V717">
            <v>452616000</v>
          </cell>
          <cell r="X717">
            <v>452616000</v>
          </cell>
          <cell r="AK717">
            <v>351866</v>
          </cell>
          <cell r="AL717">
            <v>197340</v>
          </cell>
        </row>
        <row r="718">
          <cell r="B718">
            <v>44545</v>
          </cell>
          <cell r="C718">
            <v>56005625000</v>
          </cell>
          <cell r="G718">
            <v>56005625000</v>
          </cell>
          <cell r="H718">
            <v>15121519</v>
          </cell>
          <cell r="I718">
            <v>3817164000</v>
          </cell>
          <cell r="K718">
            <v>3817164000</v>
          </cell>
          <cell r="M718">
            <v>7277214000</v>
          </cell>
          <cell r="O718">
            <v>7277214000</v>
          </cell>
          <cell r="P718">
            <v>1466584000</v>
          </cell>
          <cell r="R718">
            <v>1466584000</v>
          </cell>
          <cell r="S718">
            <v>411006000</v>
          </cell>
          <cell r="U718">
            <v>411006000</v>
          </cell>
          <cell r="V718">
            <v>505817000</v>
          </cell>
          <cell r="X718">
            <v>505817000</v>
          </cell>
          <cell r="AK718">
            <v>1455601</v>
          </cell>
          <cell r="AL718">
            <v>156540</v>
          </cell>
        </row>
        <row r="719">
          <cell r="B719">
            <v>44546</v>
          </cell>
          <cell r="C719">
            <v>139256035000</v>
          </cell>
          <cell r="G719">
            <v>139256035000</v>
          </cell>
          <cell r="H719">
            <v>37599129</v>
          </cell>
          <cell r="I719">
            <v>610762000</v>
          </cell>
          <cell r="K719">
            <v>610762000</v>
          </cell>
          <cell r="M719">
            <v>5504477000</v>
          </cell>
          <cell r="O719">
            <v>5504477000</v>
          </cell>
          <cell r="P719">
            <v>2210754000</v>
          </cell>
          <cell r="R719">
            <v>2210754000</v>
          </cell>
          <cell r="S719">
            <v>738411000</v>
          </cell>
          <cell r="U719">
            <v>738411000</v>
          </cell>
          <cell r="V719">
            <v>135317000</v>
          </cell>
          <cell r="X719">
            <v>135317000</v>
          </cell>
          <cell r="AK719">
            <v>993570</v>
          </cell>
          <cell r="AL719">
            <v>283500</v>
          </cell>
        </row>
        <row r="720">
          <cell r="C720">
            <v>401291405000</v>
          </cell>
          <cell r="D720">
            <v>34842910000</v>
          </cell>
          <cell r="E720">
            <v>0</v>
          </cell>
          <cell r="F720">
            <v>0</v>
          </cell>
          <cell r="G720">
            <v>436134315000</v>
          </cell>
          <cell r="H720">
            <v>117756264</v>
          </cell>
          <cell r="I720">
            <v>4443517000</v>
          </cell>
          <cell r="J720">
            <v>0</v>
          </cell>
          <cell r="K720">
            <v>4443517000</v>
          </cell>
          <cell r="L720">
            <v>0</v>
          </cell>
          <cell r="M720">
            <v>22270428000</v>
          </cell>
          <cell r="N720">
            <v>0</v>
          </cell>
          <cell r="O720">
            <v>22270428000</v>
          </cell>
          <cell r="P720">
            <v>9944060000</v>
          </cell>
          <cell r="Q720">
            <v>0</v>
          </cell>
          <cell r="R720">
            <v>9944060000</v>
          </cell>
          <cell r="S720">
            <v>3492672000</v>
          </cell>
          <cell r="T720">
            <v>1979500000</v>
          </cell>
          <cell r="U720">
            <v>5472172000</v>
          </cell>
          <cell r="V720">
            <v>1381067000</v>
          </cell>
          <cell r="W720">
            <v>0</v>
          </cell>
          <cell r="X720">
            <v>1381067000</v>
          </cell>
          <cell r="AK720">
            <v>4841738</v>
          </cell>
          <cell r="AL720">
            <v>1329330</v>
          </cell>
        </row>
        <row r="721">
          <cell r="B721">
            <v>44547</v>
          </cell>
          <cell r="C721">
            <v>35135175000</v>
          </cell>
          <cell r="G721">
            <v>35135175000</v>
          </cell>
          <cell r="H721">
            <v>9486497</v>
          </cell>
          <cell r="I721">
            <v>1802736000</v>
          </cell>
          <cell r="K721">
            <v>1802736000</v>
          </cell>
          <cell r="M721">
            <v>5501317000</v>
          </cell>
          <cell r="O721">
            <v>5501317000</v>
          </cell>
          <cell r="P721">
            <v>921398000</v>
          </cell>
          <cell r="R721">
            <v>921398000</v>
          </cell>
          <cell r="S721">
            <v>606797000</v>
          </cell>
          <cell r="U721">
            <v>606797000</v>
          </cell>
          <cell r="V721">
            <v>178206000</v>
          </cell>
          <cell r="X721">
            <v>178206000</v>
          </cell>
          <cell r="AK721">
            <v>973129</v>
          </cell>
          <cell r="AL721">
            <v>83207</v>
          </cell>
        </row>
        <row r="722">
          <cell r="B722">
            <v>44550</v>
          </cell>
          <cell r="C722">
            <v>73296580000</v>
          </cell>
          <cell r="E722">
            <v>5729175000</v>
          </cell>
          <cell r="G722">
            <v>79025755000</v>
          </cell>
          <cell r="H722">
            <v>21336954</v>
          </cell>
          <cell r="I722">
            <v>4159847000</v>
          </cell>
          <cell r="J722">
            <v>30546000000</v>
          </cell>
          <cell r="K722">
            <v>34705847000</v>
          </cell>
          <cell r="M722">
            <v>1379354000</v>
          </cell>
          <cell r="O722">
            <v>1379354000</v>
          </cell>
          <cell r="P722">
            <v>1464707000</v>
          </cell>
          <cell r="R722">
            <v>1464707000</v>
          </cell>
          <cell r="S722">
            <v>1290574000</v>
          </cell>
          <cell r="U722">
            <v>1290574000</v>
          </cell>
          <cell r="V722">
            <v>204082000</v>
          </cell>
          <cell r="X722">
            <v>204082000</v>
          </cell>
          <cell r="AK722">
            <v>6416125</v>
          </cell>
          <cell r="AL722">
            <v>571080</v>
          </cell>
        </row>
        <row r="723">
          <cell r="B723">
            <v>44551</v>
          </cell>
          <cell r="C723">
            <v>29375225000</v>
          </cell>
          <cell r="G723">
            <v>29375225000</v>
          </cell>
          <cell r="H723">
            <v>7931312</v>
          </cell>
          <cell r="I723">
            <v>101659000</v>
          </cell>
          <cell r="K723">
            <v>101659000</v>
          </cell>
          <cell r="M723">
            <v>4122085000</v>
          </cell>
          <cell r="O723">
            <v>4122085000</v>
          </cell>
          <cell r="P723">
            <v>646214000</v>
          </cell>
          <cell r="R723">
            <v>646214000</v>
          </cell>
          <cell r="S723">
            <v>716363000</v>
          </cell>
          <cell r="U723">
            <v>716363000</v>
          </cell>
          <cell r="V723">
            <v>112243000</v>
          </cell>
          <cell r="X723">
            <v>112243000</v>
          </cell>
          <cell r="AK723">
            <v>615445</v>
          </cell>
          <cell r="AL723">
            <v>19020</v>
          </cell>
        </row>
        <row r="724">
          <cell r="B724">
            <v>44552</v>
          </cell>
          <cell r="C724">
            <v>47671230000</v>
          </cell>
          <cell r="D724">
            <v>14290260000</v>
          </cell>
          <cell r="G724">
            <v>61961490000</v>
          </cell>
          <cell r="H724">
            <v>16729602</v>
          </cell>
          <cell r="I724">
            <v>7507069000</v>
          </cell>
          <cell r="K724">
            <v>7507069000</v>
          </cell>
          <cell r="M724">
            <v>4119191000</v>
          </cell>
          <cell r="O724">
            <v>4119191000</v>
          </cell>
          <cell r="P724">
            <v>5123371000</v>
          </cell>
          <cell r="R724">
            <v>5123371000</v>
          </cell>
          <cell r="S724">
            <v>748486000</v>
          </cell>
          <cell r="U724">
            <v>748486000</v>
          </cell>
          <cell r="V724">
            <v>294593000</v>
          </cell>
          <cell r="X724">
            <v>294593000</v>
          </cell>
          <cell r="AK724">
            <v>1921613</v>
          </cell>
          <cell r="AL724">
            <v>205350</v>
          </cell>
        </row>
        <row r="725">
          <cell r="B725">
            <v>44553</v>
          </cell>
          <cell r="C725">
            <v>104492060000</v>
          </cell>
          <cell r="D725">
            <v>5815240000</v>
          </cell>
          <cell r="G725">
            <v>110307300000</v>
          </cell>
          <cell r="H725">
            <v>29782971</v>
          </cell>
          <cell r="I725">
            <v>16161547000</v>
          </cell>
          <cell r="K725">
            <v>16161547000</v>
          </cell>
          <cell r="M725">
            <v>5662113000</v>
          </cell>
          <cell r="O725">
            <v>5662113000</v>
          </cell>
          <cell r="P725">
            <v>1562333000</v>
          </cell>
          <cell r="R725">
            <v>1562333000</v>
          </cell>
          <cell r="S725">
            <v>751786000</v>
          </cell>
          <cell r="U725">
            <v>751786000</v>
          </cell>
          <cell r="V725">
            <v>252610000</v>
          </cell>
          <cell r="X725">
            <v>252610000</v>
          </cell>
          <cell r="AK725">
            <v>2634162</v>
          </cell>
          <cell r="AL725">
            <v>214620</v>
          </cell>
        </row>
        <row r="726">
          <cell r="C726">
            <v>289970270000</v>
          </cell>
          <cell r="D726">
            <v>20105500000</v>
          </cell>
          <cell r="E726">
            <v>5729175000</v>
          </cell>
          <cell r="F726">
            <v>0</v>
          </cell>
          <cell r="G726">
            <v>315804945000</v>
          </cell>
          <cell r="H726">
            <v>85267336</v>
          </cell>
          <cell r="I726">
            <v>29732858000</v>
          </cell>
          <cell r="J726">
            <v>30546000000</v>
          </cell>
          <cell r="K726">
            <v>60278858000</v>
          </cell>
          <cell r="L726">
            <v>0</v>
          </cell>
          <cell r="M726">
            <v>20784060000</v>
          </cell>
          <cell r="N726">
            <v>0</v>
          </cell>
          <cell r="O726">
            <v>20784060000</v>
          </cell>
          <cell r="P726">
            <v>9718023000</v>
          </cell>
          <cell r="Q726">
            <v>0</v>
          </cell>
          <cell r="R726">
            <v>9718023000</v>
          </cell>
          <cell r="S726">
            <v>4114006000</v>
          </cell>
          <cell r="T726">
            <v>0</v>
          </cell>
          <cell r="U726">
            <v>4114006000</v>
          </cell>
          <cell r="V726">
            <v>1041734000</v>
          </cell>
          <cell r="W726">
            <v>0</v>
          </cell>
          <cell r="X726">
            <v>1041734000</v>
          </cell>
          <cell r="AK726">
            <v>12560474</v>
          </cell>
          <cell r="AL726">
            <v>1093277</v>
          </cell>
        </row>
        <row r="727">
          <cell r="B727">
            <v>44554</v>
          </cell>
          <cell r="C727">
            <v>77308080000</v>
          </cell>
          <cell r="G727">
            <v>77308080000</v>
          </cell>
          <cell r="H727">
            <v>20873182</v>
          </cell>
          <cell r="I727">
            <v>17489414000</v>
          </cell>
          <cell r="J727">
            <v>5277300000</v>
          </cell>
          <cell r="K727">
            <v>22766714000</v>
          </cell>
          <cell r="M727">
            <v>1125953000</v>
          </cell>
          <cell r="O727">
            <v>1125953000</v>
          </cell>
          <cell r="P727">
            <v>687038000</v>
          </cell>
          <cell r="R727">
            <v>687038000</v>
          </cell>
          <cell r="S727">
            <v>1068111000</v>
          </cell>
          <cell r="U727">
            <v>1068111000</v>
          </cell>
          <cell r="V727">
            <v>247132000</v>
          </cell>
          <cell r="X727">
            <v>247132000</v>
          </cell>
          <cell r="AK727">
            <v>3176620</v>
          </cell>
          <cell r="AL727">
            <v>414810</v>
          </cell>
        </row>
        <row r="728">
          <cell r="B728">
            <v>44557</v>
          </cell>
          <cell r="C728">
            <v>41796690000</v>
          </cell>
          <cell r="G728">
            <v>41796690000</v>
          </cell>
          <cell r="H728">
            <v>11285106</v>
          </cell>
          <cell r="I728">
            <v>7407421000</v>
          </cell>
          <cell r="K728">
            <v>7407421000</v>
          </cell>
          <cell r="M728">
            <v>8296632000</v>
          </cell>
          <cell r="O728">
            <v>8296632000</v>
          </cell>
          <cell r="P728">
            <v>7561337000</v>
          </cell>
          <cell r="R728">
            <v>7561337000</v>
          </cell>
          <cell r="S728">
            <v>743084000</v>
          </cell>
          <cell r="U728">
            <v>743084000</v>
          </cell>
          <cell r="V728">
            <v>102556000</v>
          </cell>
          <cell r="X728">
            <v>102556000</v>
          </cell>
          <cell r="AK728">
            <v>2603991</v>
          </cell>
          <cell r="AL728">
            <v>352560</v>
          </cell>
        </row>
        <row r="729">
          <cell r="B729">
            <v>44558</v>
          </cell>
          <cell r="C729">
            <v>55362660000</v>
          </cell>
          <cell r="G729">
            <v>55362660000</v>
          </cell>
          <cell r="H729">
            <v>14947918</v>
          </cell>
          <cell r="I729">
            <v>4689609000</v>
          </cell>
          <cell r="K729">
            <v>4689609000</v>
          </cell>
          <cell r="M729">
            <v>1476511000</v>
          </cell>
          <cell r="O729">
            <v>1476511000</v>
          </cell>
          <cell r="P729">
            <v>7236486000</v>
          </cell>
          <cell r="R729">
            <v>7236486000</v>
          </cell>
          <cell r="S729">
            <v>866557000</v>
          </cell>
          <cell r="U729">
            <v>866557000</v>
          </cell>
          <cell r="V729">
            <v>41273000</v>
          </cell>
          <cell r="X729">
            <v>41273000</v>
          </cell>
          <cell r="AK729">
            <v>1545527</v>
          </cell>
          <cell r="AL729">
            <v>287850</v>
          </cell>
        </row>
        <row r="730">
          <cell r="B730">
            <v>44559</v>
          </cell>
          <cell r="C730">
            <v>35249215000</v>
          </cell>
          <cell r="D730">
            <v>5194300000</v>
          </cell>
          <cell r="E730">
            <v>5825930000</v>
          </cell>
          <cell r="G730">
            <v>46269445000</v>
          </cell>
          <cell r="H730">
            <v>12492750</v>
          </cell>
          <cell r="I730">
            <v>7675885000</v>
          </cell>
          <cell r="K730">
            <v>7675885000</v>
          </cell>
          <cell r="M730">
            <v>2402734000</v>
          </cell>
          <cell r="O730">
            <v>2402734000</v>
          </cell>
          <cell r="P730">
            <v>1047200000</v>
          </cell>
          <cell r="R730">
            <v>1047200000</v>
          </cell>
          <cell r="S730">
            <v>712269000</v>
          </cell>
          <cell r="U730">
            <v>712269000</v>
          </cell>
          <cell r="V730">
            <v>169488000</v>
          </cell>
          <cell r="X730">
            <v>169488000</v>
          </cell>
          <cell r="AK730">
            <v>1296818</v>
          </cell>
          <cell r="AL730">
            <v>270720</v>
          </cell>
        </row>
        <row r="731">
          <cell r="B731">
            <v>44560</v>
          </cell>
          <cell r="C731">
            <v>23236520000</v>
          </cell>
          <cell r="D731">
            <v>1672185000</v>
          </cell>
          <cell r="E731">
            <v>5858480000</v>
          </cell>
          <cell r="F731">
            <v>4428195000</v>
          </cell>
          <cell r="G731">
            <v>35195380000</v>
          </cell>
          <cell r="H731">
            <v>9502753</v>
          </cell>
          <cell r="I731">
            <v>14883215000</v>
          </cell>
          <cell r="K731">
            <v>14883215000</v>
          </cell>
          <cell r="M731">
            <v>4454892000</v>
          </cell>
          <cell r="O731">
            <v>4454892000</v>
          </cell>
          <cell r="P731">
            <v>486546000</v>
          </cell>
          <cell r="R731">
            <v>486546000</v>
          </cell>
          <cell r="S731">
            <v>713623000</v>
          </cell>
          <cell r="U731">
            <v>713623000</v>
          </cell>
          <cell r="V731">
            <v>67871000</v>
          </cell>
          <cell r="X731">
            <v>67871000</v>
          </cell>
          <cell r="AK731">
            <v>2225464</v>
          </cell>
          <cell r="AL731">
            <v>70440</v>
          </cell>
        </row>
        <row r="732">
          <cell r="C732">
            <v>232953165000</v>
          </cell>
          <cell r="D732">
            <v>6866485000</v>
          </cell>
          <cell r="E732">
            <v>11684410000</v>
          </cell>
          <cell r="F732">
            <v>4428195000</v>
          </cell>
          <cell r="G732">
            <v>255932255000</v>
          </cell>
          <cell r="H732">
            <v>69101709</v>
          </cell>
          <cell r="I732">
            <v>52145544000</v>
          </cell>
          <cell r="J732">
            <v>5277300000</v>
          </cell>
          <cell r="K732">
            <v>57422844000</v>
          </cell>
          <cell r="L732">
            <v>0</v>
          </cell>
          <cell r="M732">
            <v>17756722000</v>
          </cell>
          <cell r="N732">
            <v>0</v>
          </cell>
          <cell r="O732">
            <v>17756722000</v>
          </cell>
          <cell r="P732">
            <v>17018607000</v>
          </cell>
          <cell r="Q732">
            <v>0</v>
          </cell>
          <cell r="R732">
            <v>17018607000</v>
          </cell>
          <cell r="S732">
            <v>4103644000</v>
          </cell>
          <cell r="T732">
            <v>0</v>
          </cell>
          <cell r="U732">
            <v>4103644000</v>
          </cell>
          <cell r="V732">
            <v>628320000</v>
          </cell>
          <cell r="W732">
            <v>0</v>
          </cell>
          <cell r="X732">
            <v>628320000</v>
          </cell>
          <cell r="AK732">
            <v>10848420</v>
          </cell>
          <cell r="AL732">
            <v>1396380</v>
          </cell>
        </row>
        <row r="733">
          <cell r="B733">
            <v>44561</v>
          </cell>
          <cell r="C733">
            <v>4746790000</v>
          </cell>
          <cell r="G733">
            <v>4746790000</v>
          </cell>
          <cell r="H733">
            <v>1281633</v>
          </cell>
          <cell r="I733">
            <v>519183000</v>
          </cell>
          <cell r="K733">
            <v>519183000</v>
          </cell>
          <cell r="M733">
            <v>5306140000</v>
          </cell>
          <cell r="O733">
            <v>5306140000</v>
          </cell>
          <cell r="P733">
            <v>3757597000</v>
          </cell>
          <cell r="R733">
            <v>3757597000</v>
          </cell>
          <cell r="S733">
            <v>691407000</v>
          </cell>
          <cell r="U733">
            <v>691407000</v>
          </cell>
          <cell r="V733">
            <v>463466000</v>
          </cell>
          <cell r="X733">
            <v>463466000</v>
          </cell>
          <cell r="AK733">
            <v>1159682</v>
          </cell>
          <cell r="AL733">
            <v>38160</v>
          </cell>
        </row>
        <row r="734">
          <cell r="B734" t="str">
            <v>YEAR</v>
          </cell>
          <cell r="C734">
            <v>10856547148000</v>
          </cell>
          <cell r="D734">
            <v>1829605305000</v>
          </cell>
          <cell r="E734">
            <v>69033040000</v>
          </cell>
          <cell r="F734">
            <v>14518650000</v>
          </cell>
          <cell r="G734">
            <v>12769704143000</v>
          </cell>
          <cell r="H734">
            <v>3422483728</v>
          </cell>
          <cell r="I734">
            <v>1611419625000</v>
          </cell>
          <cell r="J734">
            <v>7065945901000</v>
          </cell>
          <cell r="K734">
            <v>8677365526000</v>
          </cell>
          <cell r="L734">
            <v>0</v>
          </cell>
          <cell r="M734">
            <v>1473564973000</v>
          </cell>
          <cell r="N734">
            <v>534256406000</v>
          </cell>
          <cell r="O734">
            <v>2007821379000</v>
          </cell>
          <cell r="P734">
            <v>245940674000</v>
          </cell>
          <cell r="Q734">
            <v>35498500000</v>
          </cell>
          <cell r="R734">
            <v>281404828000</v>
          </cell>
          <cell r="S734">
            <v>188791682000</v>
          </cell>
          <cell r="T734">
            <v>7535500000</v>
          </cell>
          <cell r="U734">
            <v>167994387000</v>
          </cell>
          <cell r="V734">
            <v>96352009000</v>
          </cell>
          <cell r="W734">
            <v>47515944000</v>
          </cell>
          <cell r="X734">
            <v>143867953000</v>
          </cell>
          <cell r="AK734">
            <v>1777325259</v>
          </cell>
          <cell r="AL734">
            <v>74401156</v>
          </cell>
        </row>
        <row r="736">
          <cell r="B736">
            <v>44565</v>
          </cell>
          <cell r="C736">
            <v>58455275000</v>
          </cell>
          <cell r="G736">
            <v>58455275000</v>
          </cell>
          <cell r="H736">
            <v>15782924</v>
          </cell>
          <cell r="I736">
            <v>12654452000</v>
          </cell>
          <cell r="J736">
            <v>11180000000</v>
          </cell>
          <cell r="K736">
            <v>23834452000</v>
          </cell>
          <cell r="M736">
            <v>20870344000</v>
          </cell>
          <cell r="O736">
            <v>20870344000</v>
          </cell>
          <cell r="P736">
            <v>5135480000</v>
          </cell>
          <cell r="R736">
            <v>5135480000</v>
          </cell>
          <cell r="S736">
            <v>1063505000</v>
          </cell>
          <cell r="U736">
            <v>1063505000</v>
          </cell>
          <cell r="V736">
            <v>230551000</v>
          </cell>
          <cell r="X736">
            <v>230551000</v>
          </cell>
          <cell r="AK736">
            <v>6327468</v>
          </cell>
          <cell r="AL736">
            <v>449250</v>
          </cell>
        </row>
        <row r="737">
          <cell r="B737">
            <v>44566</v>
          </cell>
          <cell r="C737">
            <v>93658235000</v>
          </cell>
          <cell r="G737">
            <v>93658235000</v>
          </cell>
          <cell r="H737">
            <v>25287723</v>
          </cell>
          <cell r="I737">
            <v>19947827000</v>
          </cell>
          <cell r="K737">
            <v>19947827000</v>
          </cell>
          <cell r="M737">
            <v>4831337000</v>
          </cell>
          <cell r="O737">
            <v>4831337000</v>
          </cell>
          <cell r="P737">
            <v>410863000</v>
          </cell>
          <cell r="R737">
            <v>410863000</v>
          </cell>
          <cell r="S737">
            <v>705176000</v>
          </cell>
          <cell r="U737">
            <v>705176000</v>
          </cell>
          <cell r="V737">
            <v>130673000</v>
          </cell>
          <cell r="X737">
            <v>130673000</v>
          </cell>
          <cell r="AK737">
            <v>2810795</v>
          </cell>
          <cell r="AL737">
            <v>513000</v>
          </cell>
        </row>
        <row r="738">
          <cell r="B738">
            <v>44567</v>
          </cell>
          <cell r="C738">
            <v>52952995000</v>
          </cell>
          <cell r="G738">
            <v>52952995000</v>
          </cell>
          <cell r="H738">
            <v>14297309</v>
          </cell>
          <cell r="I738">
            <v>20386304000</v>
          </cell>
          <cell r="J738">
            <v>10401500000</v>
          </cell>
          <cell r="K738">
            <v>30787804000</v>
          </cell>
          <cell r="M738">
            <v>14182381000</v>
          </cell>
          <cell r="O738">
            <v>14182381000</v>
          </cell>
          <cell r="P738">
            <v>9691357000</v>
          </cell>
          <cell r="R738">
            <v>9691357000</v>
          </cell>
          <cell r="S738">
            <v>763103000</v>
          </cell>
          <cell r="U738">
            <v>763103000</v>
          </cell>
          <cell r="V738">
            <v>109184000</v>
          </cell>
          <cell r="X738">
            <v>109184000</v>
          </cell>
          <cell r="AK738">
            <v>6746562</v>
          </cell>
          <cell r="AL738">
            <v>159480</v>
          </cell>
        </row>
        <row r="739">
          <cell r="C739">
            <v>209813295000</v>
          </cell>
          <cell r="D739">
            <v>0</v>
          </cell>
          <cell r="E739">
            <v>0</v>
          </cell>
          <cell r="F739">
            <v>0</v>
          </cell>
          <cell r="G739">
            <v>209813295000</v>
          </cell>
          <cell r="H739">
            <v>56649589</v>
          </cell>
          <cell r="I739">
            <v>53507766000</v>
          </cell>
          <cell r="J739">
            <v>21581500000</v>
          </cell>
          <cell r="K739">
            <v>75089266000</v>
          </cell>
          <cell r="L739">
            <v>0</v>
          </cell>
          <cell r="M739">
            <v>45190202000</v>
          </cell>
          <cell r="N739">
            <v>0</v>
          </cell>
          <cell r="O739">
            <v>45190202000</v>
          </cell>
          <cell r="P739">
            <v>18995297000</v>
          </cell>
          <cell r="Q739">
            <v>0</v>
          </cell>
          <cell r="R739">
            <v>18995297000</v>
          </cell>
          <cell r="S739">
            <v>3223191000</v>
          </cell>
          <cell r="T739">
            <v>0</v>
          </cell>
          <cell r="U739">
            <v>3223191000</v>
          </cell>
          <cell r="V739">
            <v>933874000</v>
          </cell>
          <cell r="W739">
            <v>0</v>
          </cell>
          <cell r="X739">
            <v>933874000</v>
          </cell>
          <cell r="AK739">
            <v>17044507</v>
          </cell>
          <cell r="AL739">
            <v>1159890</v>
          </cell>
        </row>
        <row r="740">
          <cell r="B740">
            <v>44568</v>
          </cell>
          <cell r="C740">
            <v>56277710000</v>
          </cell>
          <cell r="G740">
            <v>56277710000</v>
          </cell>
          <cell r="H740">
            <v>15194982</v>
          </cell>
          <cell r="I740">
            <v>19521365000</v>
          </cell>
          <cell r="K740">
            <v>19521365000</v>
          </cell>
          <cell r="M740">
            <v>13707385000</v>
          </cell>
          <cell r="O740">
            <v>13707385000</v>
          </cell>
          <cell r="P740">
            <v>1779781000</v>
          </cell>
          <cell r="R740">
            <v>1779781000</v>
          </cell>
          <cell r="S740">
            <v>1029668000</v>
          </cell>
          <cell r="U740">
            <v>1029668000</v>
          </cell>
          <cell r="V740">
            <v>93149000</v>
          </cell>
          <cell r="X740">
            <v>93149000</v>
          </cell>
          <cell r="Y740">
            <v>32600825000</v>
          </cell>
          <cell r="AA740">
            <v>32600825000</v>
          </cell>
          <cell r="AK740">
            <v>7423075</v>
          </cell>
          <cell r="AL740">
            <v>433230</v>
          </cell>
        </row>
        <row r="741">
          <cell r="B741">
            <v>44571</v>
          </cell>
          <cell r="C741">
            <v>39283560000</v>
          </cell>
          <cell r="D741">
            <v>8278850000</v>
          </cell>
          <cell r="E741">
            <v>5822235000</v>
          </cell>
          <cell r="G741">
            <v>53384645000</v>
          </cell>
          <cell r="H741">
            <v>14413854</v>
          </cell>
          <cell r="I741">
            <v>14559017000</v>
          </cell>
          <cell r="J741">
            <v>3584000000</v>
          </cell>
          <cell r="K741">
            <v>18143017000</v>
          </cell>
          <cell r="M741">
            <v>16412775000</v>
          </cell>
          <cell r="O741">
            <v>16412775000</v>
          </cell>
          <cell r="P741">
            <v>3506977000</v>
          </cell>
          <cell r="R741">
            <v>3506977000</v>
          </cell>
          <cell r="S741">
            <v>1605792000</v>
          </cell>
          <cell r="U741">
            <v>1605792000</v>
          </cell>
          <cell r="V741">
            <v>106195000</v>
          </cell>
          <cell r="X741">
            <v>106195000</v>
          </cell>
          <cell r="Y741">
            <v>2913372000</v>
          </cell>
          <cell r="AA741">
            <v>2913372000</v>
          </cell>
          <cell r="AK741">
            <v>4868366</v>
          </cell>
          <cell r="AL741">
            <v>306750</v>
          </cell>
        </row>
        <row r="742">
          <cell r="B742">
            <v>44572</v>
          </cell>
          <cell r="C742">
            <v>132486620000</v>
          </cell>
          <cell r="G742">
            <v>132486620000</v>
          </cell>
          <cell r="H742">
            <v>35771387</v>
          </cell>
          <cell r="I742">
            <v>31991600000</v>
          </cell>
          <cell r="J742">
            <v>10092000000</v>
          </cell>
          <cell r="K742">
            <v>42083600000</v>
          </cell>
          <cell r="M742">
            <v>1436697000</v>
          </cell>
          <cell r="O742">
            <v>1436697000</v>
          </cell>
          <cell r="P742">
            <v>8029398000</v>
          </cell>
          <cell r="R742">
            <v>8029398000</v>
          </cell>
          <cell r="S742">
            <v>960376000</v>
          </cell>
          <cell r="U742">
            <v>960376000</v>
          </cell>
          <cell r="V742">
            <v>237239000</v>
          </cell>
          <cell r="X742">
            <v>237239000</v>
          </cell>
          <cell r="Y742">
            <v>2891403000</v>
          </cell>
          <cell r="AA742">
            <v>2891403000</v>
          </cell>
          <cell r="AK742">
            <v>6735601</v>
          </cell>
          <cell r="AL742">
            <v>772380</v>
          </cell>
        </row>
        <row r="743">
          <cell r="B743">
            <v>44573</v>
          </cell>
          <cell r="C743">
            <v>80066860000</v>
          </cell>
          <cell r="G743">
            <v>80066860000</v>
          </cell>
          <cell r="H743">
            <v>21618052</v>
          </cell>
          <cell r="I743">
            <v>30809371000</v>
          </cell>
          <cell r="J743">
            <v>16389000000</v>
          </cell>
          <cell r="K743">
            <v>47198371000</v>
          </cell>
          <cell r="M743">
            <v>5866240000</v>
          </cell>
          <cell r="O743">
            <v>5866240000</v>
          </cell>
          <cell r="P743">
            <v>553107000</v>
          </cell>
          <cell r="R743">
            <v>553107000</v>
          </cell>
          <cell r="S743">
            <v>863397000</v>
          </cell>
          <cell r="U743">
            <v>863397000</v>
          </cell>
          <cell r="V743">
            <v>193033000</v>
          </cell>
          <cell r="X743">
            <v>193033000</v>
          </cell>
          <cell r="Y743">
            <v>1524143000</v>
          </cell>
          <cell r="AA743">
            <v>1524143000</v>
          </cell>
          <cell r="AK743">
            <v>7249423</v>
          </cell>
          <cell r="AL743">
            <v>498030</v>
          </cell>
        </row>
        <row r="744">
          <cell r="B744">
            <v>44574</v>
          </cell>
          <cell r="C744">
            <v>71254135000</v>
          </cell>
          <cell r="G744">
            <v>71254135000</v>
          </cell>
          <cell r="H744">
            <v>19238616</v>
          </cell>
          <cell r="I744">
            <v>24677988000</v>
          </cell>
          <cell r="J744">
            <v>2516000000</v>
          </cell>
          <cell r="K744">
            <v>27193988000</v>
          </cell>
          <cell r="M744">
            <v>22804258000</v>
          </cell>
          <cell r="O744">
            <v>22804258000</v>
          </cell>
          <cell r="P744">
            <v>3986143000</v>
          </cell>
          <cell r="R744">
            <v>3986143000</v>
          </cell>
          <cell r="S744">
            <v>592629000</v>
          </cell>
          <cell r="U744">
            <v>592629000</v>
          </cell>
          <cell r="V744">
            <v>89449000</v>
          </cell>
          <cell r="X744">
            <v>89449000</v>
          </cell>
          <cell r="Y744">
            <v>1292492000</v>
          </cell>
          <cell r="AA744">
            <v>1292492000</v>
          </cell>
          <cell r="AK744">
            <v>6224720</v>
          </cell>
          <cell r="AL744">
            <v>641520</v>
          </cell>
        </row>
        <row r="745">
          <cell r="C745">
            <v>379368885000</v>
          </cell>
          <cell r="D745">
            <v>8278850000</v>
          </cell>
          <cell r="E745">
            <v>5822235000</v>
          </cell>
          <cell r="F745">
            <v>0</v>
          </cell>
          <cell r="G745">
            <v>393469970000</v>
          </cell>
          <cell r="H745">
            <v>106236891</v>
          </cell>
          <cell r="I745">
            <v>121559341000</v>
          </cell>
          <cell r="J745">
            <v>32581000000</v>
          </cell>
          <cell r="K745">
            <v>154140341000</v>
          </cell>
          <cell r="L745">
            <v>0</v>
          </cell>
          <cell r="M745">
            <v>60227355000</v>
          </cell>
          <cell r="N745">
            <v>0</v>
          </cell>
          <cell r="O745">
            <v>60227355000</v>
          </cell>
          <cell r="P745">
            <v>17855406000</v>
          </cell>
          <cell r="Q745">
            <v>0</v>
          </cell>
          <cell r="R745">
            <v>17855406000</v>
          </cell>
          <cell r="S745">
            <v>5051862000</v>
          </cell>
          <cell r="T745">
            <v>0</v>
          </cell>
          <cell r="U745">
            <v>5051862000</v>
          </cell>
          <cell r="V745">
            <v>719065000</v>
          </cell>
          <cell r="W745">
            <v>0</v>
          </cell>
          <cell r="X745">
            <v>719065000</v>
          </cell>
          <cell r="Y745">
            <v>41222235000</v>
          </cell>
          <cell r="Z745">
            <v>0</v>
          </cell>
          <cell r="AA745">
            <v>41222235000</v>
          </cell>
          <cell r="AK745">
            <v>32501185</v>
          </cell>
          <cell r="AL745">
            <v>2651910</v>
          </cell>
        </row>
        <row r="746">
          <cell r="B746">
            <v>44575</v>
          </cell>
          <cell r="C746">
            <v>85124240000</v>
          </cell>
          <cell r="D746">
            <v>7739185000</v>
          </cell>
          <cell r="E746">
            <v>6015090000</v>
          </cell>
          <cell r="G746">
            <v>98878515000</v>
          </cell>
          <cell r="H746">
            <v>26697199</v>
          </cell>
          <cell r="I746">
            <v>5548818000</v>
          </cell>
          <cell r="K746">
            <v>5548818000</v>
          </cell>
          <cell r="M746">
            <v>10435147000</v>
          </cell>
          <cell r="O746">
            <v>10435147000</v>
          </cell>
          <cell r="P746">
            <v>7223509000</v>
          </cell>
          <cell r="R746">
            <v>7223509000</v>
          </cell>
          <cell r="S746">
            <v>1174150000</v>
          </cell>
          <cell r="U746">
            <v>1174150000</v>
          </cell>
          <cell r="V746">
            <v>97917000</v>
          </cell>
          <cell r="X746">
            <v>97917000</v>
          </cell>
          <cell r="Y746">
            <v>1402125000</v>
          </cell>
          <cell r="AA746">
            <v>1402125000</v>
          </cell>
          <cell r="AK746">
            <v>2795220</v>
          </cell>
          <cell r="AL746">
            <v>332010</v>
          </cell>
        </row>
        <row r="747">
          <cell r="B747">
            <v>44578</v>
          </cell>
          <cell r="C747">
            <v>194691605000</v>
          </cell>
          <cell r="D747">
            <v>7833915000</v>
          </cell>
          <cell r="E747">
            <v>7300075000</v>
          </cell>
          <cell r="G747">
            <v>209825595000</v>
          </cell>
          <cell r="H747">
            <v>56652911</v>
          </cell>
          <cell r="I747">
            <v>9917883000</v>
          </cell>
          <cell r="J747">
            <v>7551000000</v>
          </cell>
          <cell r="K747">
            <v>17468883000</v>
          </cell>
          <cell r="M747">
            <v>8217744000</v>
          </cell>
          <cell r="O747">
            <v>8217744000</v>
          </cell>
          <cell r="P747">
            <v>5216397000</v>
          </cell>
          <cell r="R747">
            <v>5216397000</v>
          </cell>
          <cell r="S747">
            <v>1193027000</v>
          </cell>
          <cell r="U747">
            <v>1193027000</v>
          </cell>
          <cell r="V747">
            <v>130811000</v>
          </cell>
          <cell r="X747">
            <v>130811000</v>
          </cell>
          <cell r="Y747">
            <v>724838000</v>
          </cell>
          <cell r="AA747">
            <v>724838000</v>
          </cell>
          <cell r="AK747">
            <v>4102456</v>
          </cell>
          <cell r="AL747">
            <v>726420</v>
          </cell>
        </row>
        <row r="748">
          <cell r="B748">
            <v>44579</v>
          </cell>
          <cell r="C748">
            <v>121300725000</v>
          </cell>
          <cell r="D748">
            <v>5513870000</v>
          </cell>
          <cell r="E748">
            <v>12356635000</v>
          </cell>
          <cell r="G748">
            <v>139171230000</v>
          </cell>
          <cell r="H748">
            <v>37576232</v>
          </cell>
          <cell r="I748">
            <v>10002324000</v>
          </cell>
          <cell r="J748">
            <v>54669500000</v>
          </cell>
          <cell r="K748">
            <v>64671824000</v>
          </cell>
          <cell r="M748">
            <v>12871706000</v>
          </cell>
          <cell r="O748">
            <v>12871706000</v>
          </cell>
          <cell r="P748">
            <v>3013432000</v>
          </cell>
          <cell r="R748">
            <v>3013432000</v>
          </cell>
          <cell r="S748">
            <v>1406594000</v>
          </cell>
          <cell r="T748">
            <v>1919000000</v>
          </cell>
          <cell r="U748">
            <v>3325594000</v>
          </cell>
          <cell r="V748">
            <v>344758000</v>
          </cell>
          <cell r="X748">
            <v>344758000</v>
          </cell>
          <cell r="Y748">
            <v>640895000</v>
          </cell>
          <cell r="AA748">
            <v>640895000</v>
          </cell>
          <cell r="AK748">
            <v>13240139</v>
          </cell>
          <cell r="AL748">
            <v>527820</v>
          </cell>
        </row>
        <row r="749">
          <cell r="B749">
            <v>44580</v>
          </cell>
          <cell r="C749">
            <v>85543200000</v>
          </cell>
          <cell r="E749">
            <v>5895410000</v>
          </cell>
          <cell r="G749">
            <v>91438610000</v>
          </cell>
          <cell r="H749">
            <v>24688425</v>
          </cell>
          <cell r="I749">
            <v>5483115000</v>
          </cell>
          <cell r="J749">
            <v>97131000000</v>
          </cell>
          <cell r="K749">
            <v>102614115000</v>
          </cell>
          <cell r="M749">
            <v>17887617000</v>
          </cell>
          <cell r="O749">
            <v>17887617000</v>
          </cell>
          <cell r="P749">
            <v>1097210000</v>
          </cell>
          <cell r="R749">
            <v>1097210000</v>
          </cell>
          <cell r="S749">
            <v>893015000</v>
          </cell>
          <cell r="U749">
            <v>893015000</v>
          </cell>
          <cell r="V749">
            <v>294482000</v>
          </cell>
          <cell r="X749">
            <v>294482000</v>
          </cell>
          <cell r="Y749">
            <v>524171000</v>
          </cell>
          <cell r="AA749">
            <v>524171000</v>
          </cell>
          <cell r="AK749">
            <v>20310978</v>
          </cell>
          <cell r="AL749">
            <v>565920</v>
          </cell>
        </row>
        <row r="750">
          <cell r="B750">
            <v>44581</v>
          </cell>
          <cell r="C750">
            <v>78414050000</v>
          </cell>
          <cell r="D750">
            <v>10762610000</v>
          </cell>
          <cell r="G750">
            <v>89176660000</v>
          </cell>
          <cell r="H750">
            <v>24077698</v>
          </cell>
          <cell r="I750">
            <v>2696653000</v>
          </cell>
          <cell r="J750">
            <v>12550000000</v>
          </cell>
          <cell r="K750">
            <v>15246653000</v>
          </cell>
          <cell r="M750">
            <v>18884328000</v>
          </cell>
          <cell r="O750">
            <v>18884328000</v>
          </cell>
          <cell r="P750">
            <v>5241138000</v>
          </cell>
          <cell r="R750">
            <v>5241138000</v>
          </cell>
          <cell r="S750">
            <v>623036000</v>
          </cell>
          <cell r="U750">
            <v>623036000</v>
          </cell>
          <cell r="V750">
            <v>79255000</v>
          </cell>
          <cell r="X750">
            <v>79255000</v>
          </cell>
          <cell r="Y750">
            <v>597760000</v>
          </cell>
          <cell r="AA750">
            <v>597760000</v>
          </cell>
          <cell r="AK750">
            <v>5296194</v>
          </cell>
          <cell r="AL750">
            <v>530160</v>
          </cell>
        </row>
        <row r="751">
          <cell r="C751">
            <v>565073820000</v>
          </cell>
          <cell r="D751">
            <v>31849580000</v>
          </cell>
          <cell r="E751">
            <v>31567210000</v>
          </cell>
          <cell r="F751">
            <v>0</v>
          </cell>
          <cell r="G751">
            <v>628490610000</v>
          </cell>
          <cell r="H751">
            <v>169692465</v>
          </cell>
          <cell r="I751">
            <v>33648793000</v>
          </cell>
          <cell r="J751">
            <v>171901500000</v>
          </cell>
          <cell r="K751">
            <v>205550293000</v>
          </cell>
          <cell r="L751">
            <v>0</v>
          </cell>
          <cell r="M751">
            <v>68296542000</v>
          </cell>
          <cell r="N751">
            <v>0</v>
          </cell>
          <cell r="O751">
            <v>68296542000</v>
          </cell>
          <cell r="P751">
            <v>21791686000</v>
          </cell>
          <cell r="Q751">
            <v>0</v>
          </cell>
          <cell r="R751">
            <v>21791686000</v>
          </cell>
          <cell r="S751">
            <v>5289822000</v>
          </cell>
          <cell r="T751">
            <v>1919000000</v>
          </cell>
          <cell r="U751">
            <v>7208822000</v>
          </cell>
          <cell r="V751">
            <v>947223000</v>
          </cell>
          <cell r="W751">
            <v>0</v>
          </cell>
          <cell r="X751">
            <v>947223000</v>
          </cell>
          <cell r="Y751">
            <v>3889789000</v>
          </cell>
          <cell r="Z751">
            <v>0</v>
          </cell>
          <cell r="AA751">
            <v>3889789000</v>
          </cell>
          <cell r="AK751">
            <v>45744987</v>
          </cell>
          <cell r="AL751">
            <v>2682330</v>
          </cell>
        </row>
        <row r="752">
          <cell r="B752">
            <v>44582</v>
          </cell>
          <cell r="C752">
            <v>86394085000</v>
          </cell>
          <cell r="G752">
            <v>86394085000</v>
          </cell>
          <cell r="H752">
            <v>23326403</v>
          </cell>
          <cell r="I752">
            <v>1219926000</v>
          </cell>
          <cell r="K752">
            <v>1219926000</v>
          </cell>
          <cell r="M752">
            <v>7986757000</v>
          </cell>
          <cell r="O752">
            <v>7986757000</v>
          </cell>
          <cell r="P752">
            <v>3222137000</v>
          </cell>
          <cell r="R752">
            <v>3222137000</v>
          </cell>
          <cell r="S752">
            <v>783792000</v>
          </cell>
          <cell r="U752">
            <v>783792000</v>
          </cell>
          <cell r="V752">
            <v>194778000</v>
          </cell>
          <cell r="X752">
            <v>194778000</v>
          </cell>
          <cell r="Y752">
            <v>513514000</v>
          </cell>
          <cell r="AA752">
            <v>513514000</v>
          </cell>
          <cell r="AK752">
            <v>1503458</v>
          </cell>
          <cell r="AL752">
            <v>584040</v>
          </cell>
        </row>
        <row r="753">
          <cell r="B753">
            <v>44585</v>
          </cell>
          <cell r="C753">
            <v>118414270000</v>
          </cell>
          <cell r="D753">
            <v>21325685000</v>
          </cell>
          <cell r="G753">
            <v>139739955000</v>
          </cell>
          <cell r="H753">
            <v>37729788</v>
          </cell>
          <cell r="I753">
            <v>7704181000</v>
          </cell>
          <cell r="K753">
            <v>7704181000</v>
          </cell>
          <cell r="M753">
            <v>9408533000</v>
          </cell>
          <cell r="O753">
            <v>9408533000</v>
          </cell>
          <cell r="P753">
            <v>381782000</v>
          </cell>
          <cell r="R753">
            <v>381782000</v>
          </cell>
          <cell r="S753">
            <v>1270265000</v>
          </cell>
          <cell r="U753">
            <v>1270265000</v>
          </cell>
          <cell r="V753">
            <v>369702000</v>
          </cell>
          <cell r="X753">
            <v>369702000</v>
          </cell>
          <cell r="Y753">
            <v>692225000</v>
          </cell>
          <cell r="AA753">
            <v>692225000</v>
          </cell>
          <cell r="AK753">
            <v>2141283</v>
          </cell>
          <cell r="AL753">
            <v>492360</v>
          </cell>
        </row>
        <row r="754">
          <cell r="B754">
            <v>44586</v>
          </cell>
          <cell r="C754">
            <v>74248485000</v>
          </cell>
          <cell r="G754">
            <v>74248485000</v>
          </cell>
          <cell r="H754">
            <v>20047091</v>
          </cell>
          <cell r="I754">
            <v>18886263000</v>
          </cell>
          <cell r="K754">
            <v>18886263000</v>
          </cell>
          <cell r="M754">
            <v>4529304000</v>
          </cell>
          <cell r="O754">
            <v>4529304000</v>
          </cell>
          <cell r="P754">
            <v>777891000</v>
          </cell>
          <cell r="R754">
            <v>777891000</v>
          </cell>
          <cell r="S754">
            <v>710273000</v>
          </cell>
          <cell r="U754">
            <v>710273000</v>
          </cell>
          <cell r="V754">
            <v>150169000</v>
          </cell>
          <cell r="X754">
            <v>150169000</v>
          </cell>
          <cell r="Y754">
            <v>568811000</v>
          </cell>
          <cell r="AA754">
            <v>568811000</v>
          </cell>
          <cell r="AK754">
            <v>2767253</v>
          </cell>
          <cell r="AL754">
            <v>387870</v>
          </cell>
        </row>
        <row r="755">
          <cell r="B755">
            <v>44587</v>
          </cell>
          <cell r="C755">
            <v>48472645000</v>
          </cell>
          <cell r="G755">
            <v>48472645000</v>
          </cell>
          <cell r="H755">
            <v>13087615</v>
          </cell>
          <cell r="I755">
            <v>21896135000</v>
          </cell>
          <cell r="J755">
            <v>15365400000</v>
          </cell>
          <cell r="K755">
            <v>37261535000</v>
          </cell>
          <cell r="M755">
            <v>23568354000</v>
          </cell>
          <cell r="O755">
            <v>23568354000</v>
          </cell>
          <cell r="P755">
            <v>2744769000</v>
          </cell>
          <cell r="Q755">
            <v>18375000000</v>
          </cell>
          <cell r="R755">
            <v>21119769000</v>
          </cell>
          <cell r="S755">
            <v>858758000</v>
          </cell>
          <cell r="U755">
            <v>858758000</v>
          </cell>
          <cell r="V755">
            <v>77139000</v>
          </cell>
          <cell r="X755">
            <v>77139000</v>
          </cell>
          <cell r="Y755">
            <v>718693000</v>
          </cell>
          <cell r="AA755">
            <v>718693000</v>
          </cell>
          <cell r="AK755">
            <v>11458568</v>
          </cell>
          <cell r="AL755">
            <v>838080</v>
          </cell>
        </row>
        <row r="756">
          <cell r="B756">
            <v>44588</v>
          </cell>
          <cell r="C756">
            <v>60294145000</v>
          </cell>
          <cell r="E756">
            <v>6229770000</v>
          </cell>
          <cell r="G756">
            <v>66523915000</v>
          </cell>
          <cell r="H756">
            <v>17961457</v>
          </cell>
          <cell r="I756">
            <v>27409516000</v>
          </cell>
          <cell r="J756">
            <v>7695000000</v>
          </cell>
          <cell r="K756">
            <v>35104516000</v>
          </cell>
          <cell r="M756">
            <v>9989972000</v>
          </cell>
          <cell r="O756">
            <v>9989972000</v>
          </cell>
          <cell r="P756">
            <v>20757000</v>
          </cell>
          <cell r="R756">
            <v>20757000</v>
          </cell>
          <cell r="S756">
            <v>1084428000</v>
          </cell>
          <cell r="U756">
            <v>1084428000</v>
          </cell>
          <cell r="V756">
            <v>142171000</v>
          </cell>
          <cell r="X756">
            <v>142171000</v>
          </cell>
          <cell r="Y756">
            <v>806523000</v>
          </cell>
          <cell r="AA756">
            <v>806523000</v>
          </cell>
          <cell r="AK756">
            <v>5646064</v>
          </cell>
          <cell r="AL756">
            <v>262680</v>
          </cell>
        </row>
        <row r="757">
          <cell r="C757">
            <v>387823630000</v>
          </cell>
          <cell r="D757">
            <v>21325685000</v>
          </cell>
          <cell r="E757">
            <v>6229770000</v>
          </cell>
          <cell r="F757">
            <v>0</v>
          </cell>
          <cell r="G757">
            <v>415379085000</v>
          </cell>
          <cell r="H757">
            <v>112152354</v>
          </cell>
          <cell r="I757">
            <v>77116021000</v>
          </cell>
          <cell r="J757">
            <v>23060400000</v>
          </cell>
          <cell r="K757">
            <v>100176421000</v>
          </cell>
          <cell r="L757">
            <v>0</v>
          </cell>
          <cell r="M757">
            <v>55482920000</v>
          </cell>
          <cell r="N757">
            <v>0</v>
          </cell>
          <cell r="O757">
            <v>55482920000</v>
          </cell>
          <cell r="P757">
            <v>7147336000</v>
          </cell>
          <cell r="Q757">
            <v>18375000000</v>
          </cell>
          <cell r="R757">
            <v>25522336000</v>
          </cell>
          <cell r="S757">
            <v>4707516000</v>
          </cell>
          <cell r="T757">
            <v>0</v>
          </cell>
          <cell r="U757">
            <v>4707516000</v>
          </cell>
          <cell r="V757">
            <v>933959000</v>
          </cell>
          <cell r="W757">
            <v>0</v>
          </cell>
          <cell r="X757">
            <v>933959000</v>
          </cell>
          <cell r="Y757">
            <v>3299766000</v>
          </cell>
          <cell r="Z757">
            <v>0</v>
          </cell>
          <cell r="AA757">
            <v>3299766000</v>
          </cell>
          <cell r="AK757">
            <v>23516626</v>
          </cell>
          <cell r="AL757">
            <v>2565030</v>
          </cell>
        </row>
        <row r="758">
          <cell r="B758">
            <v>44589</v>
          </cell>
          <cell r="C758">
            <v>83545480000</v>
          </cell>
          <cell r="D758">
            <v>3606295000</v>
          </cell>
          <cell r="G758">
            <v>87151775000</v>
          </cell>
          <cell r="H758">
            <v>23530979</v>
          </cell>
          <cell r="I758">
            <v>9758170000</v>
          </cell>
          <cell r="J758">
            <v>7729500000</v>
          </cell>
          <cell r="K758">
            <v>17487670000</v>
          </cell>
          <cell r="M758">
            <v>11290670000</v>
          </cell>
          <cell r="O758">
            <v>11290670000</v>
          </cell>
          <cell r="P758">
            <v>43998000</v>
          </cell>
          <cell r="R758">
            <v>43998000</v>
          </cell>
          <cell r="S758">
            <v>707631000</v>
          </cell>
          <cell r="U758">
            <v>707631000</v>
          </cell>
          <cell r="V758">
            <v>96546000</v>
          </cell>
          <cell r="X758">
            <v>96546000</v>
          </cell>
          <cell r="Y758">
            <v>1313194000</v>
          </cell>
          <cell r="AA758">
            <v>1313194000</v>
          </cell>
          <cell r="AK758">
            <v>3898013</v>
          </cell>
          <cell r="AL758">
            <v>408596</v>
          </cell>
        </row>
        <row r="759">
          <cell r="B759">
            <v>44599</v>
          </cell>
          <cell r="C759">
            <v>35672380000</v>
          </cell>
          <cell r="D759">
            <v>6238400000</v>
          </cell>
          <cell r="G759">
            <v>41910780000</v>
          </cell>
          <cell r="H759">
            <v>11315911</v>
          </cell>
          <cell r="I759">
            <v>11451785000</v>
          </cell>
          <cell r="K759">
            <v>11451785000</v>
          </cell>
          <cell r="M759">
            <v>9948777000</v>
          </cell>
          <cell r="O759">
            <v>9948777000</v>
          </cell>
          <cell r="P759">
            <v>205950000</v>
          </cell>
          <cell r="R759">
            <v>205950000</v>
          </cell>
          <cell r="S759">
            <v>1013352000</v>
          </cell>
          <cell r="U759">
            <v>1013352000</v>
          </cell>
          <cell r="V759">
            <v>141499000</v>
          </cell>
          <cell r="X759">
            <v>141499000</v>
          </cell>
          <cell r="Y759">
            <v>853451000</v>
          </cell>
          <cell r="AA759">
            <v>853451000</v>
          </cell>
          <cell r="AK759">
            <v>2550400</v>
          </cell>
          <cell r="AL759">
            <v>394650</v>
          </cell>
        </row>
        <row r="760">
          <cell r="B760">
            <v>44600</v>
          </cell>
          <cell r="C760">
            <v>66279595000</v>
          </cell>
          <cell r="D760">
            <v>8436905000</v>
          </cell>
          <cell r="G760">
            <v>74716500000</v>
          </cell>
          <cell r="H760">
            <v>20173455</v>
          </cell>
          <cell r="I760">
            <v>27144232000</v>
          </cell>
          <cell r="J760">
            <v>133385300000</v>
          </cell>
          <cell r="K760">
            <v>160529532000</v>
          </cell>
          <cell r="M760">
            <v>5696753000</v>
          </cell>
          <cell r="O760">
            <v>5696753000</v>
          </cell>
          <cell r="P760">
            <v>16393000</v>
          </cell>
          <cell r="R760">
            <v>16393000</v>
          </cell>
          <cell r="S760">
            <v>907138000</v>
          </cell>
          <cell r="U760">
            <v>907138000</v>
          </cell>
          <cell r="V760">
            <v>154162000</v>
          </cell>
          <cell r="X760">
            <v>154162000</v>
          </cell>
          <cell r="Y760">
            <v>764662000</v>
          </cell>
          <cell r="AA760">
            <v>764662000</v>
          </cell>
          <cell r="AK760">
            <v>27755155</v>
          </cell>
          <cell r="AL760">
            <v>738690</v>
          </cell>
        </row>
        <row r="761">
          <cell r="B761">
            <v>44601</v>
          </cell>
          <cell r="C761">
            <v>70693150000</v>
          </cell>
          <cell r="G761">
            <v>70693150000</v>
          </cell>
          <cell r="H761">
            <v>19087151</v>
          </cell>
          <cell r="I761">
            <v>261600000</v>
          </cell>
          <cell r="J761">
            <v>120931000000</v>
          </cell>
          <cell r="K761">
            <v>121192600000</v>
          </cell>
          <cell r="M761">
            <v>20369660000</v>
          </cell>
          <cell r="O761">
            <v>20369660000</v>
          </cell>
          <cell r="P761">
            <v>11836000</v>
          </cell>
          <cell r="R761">
            <v>11836000</v>
          </cell>
          <cell r="S761">
            <v>2464761000</v>
          </cell>
          <cell r="U761">
            <v>2464761000</v>
          </cell>
          <cell r="V761">
            <v>97834000</v>
          </cell>
          <cell r="X761">
            <v>97834000</v>
          </cell>
          <cell r="Y761">
            <v>598868000</v>
          </cell>
          <cell r="AA761">
            <v>598868000</v>
          </cell>
          <cell r="AK761">
            <v>24338472</v>
          </cell>
          <cell r="AL761">
            <v>494310</v>
          </cell>
        </row>
        <row r="762">
          <cell r="B762">
            <v>44602</v>
          </cell>
          <cell r="C762">
            <v>60661300000</v>
          </cell>
          <cell r="D762">
            <v>5287925000</v>
          </cell>
          <cell r="G762">
            <v>65949225000</v>
          </cell>
          <cell r="H762">
            <v>17806291</v>
          </cell>
          <cell r="I762">
            <v>340005000</v>
          </cell>
          <cell r="J762">
            <v>20824000000</v>
          </cell>
          <cell r="K762">
            <v>21164005000</v>
          </cell>
          <cell r="M762">
            <v>1000362000</v>
          </cell>
          <cell r="O762">
            <v>1000362000</v>
          </cell>
          <cell r="P762">
            <v>696017000</v>
          </cell>
          <cell r="R762">
            <v>696017000</v>
          </cell>
          <cell r="S762">
            <v>1949404000</v>
          </cell>
          <cell r="U762">
            <v>1949404000</v>
          </cell>
          <cell r="V762">
            <v>24775000</v>
          </cell>
          <cell r="X762">
            <v>24775000</v>
          </cell>
          <cell r="Y762">
            <v>1054582000</v>
          </cell>
          <cell r="AA762">
            <v>1054582000</v>
          </cell>
          <cell r="AK762">
            <v>4295356</v>
          </cell>
          <cell r="AL762">
            <v>315300</v>
          </cell>
        </row>
        <row r="763">
          <cell r="C763">
            <v>316851905000</v>
          </cell>
          <cell r="D763">
            <v>23569525000</v>
          </cell>
          <cell r="E763">
            <v>0</v>
          </cell>
          <cell r="F763">
            <v>0</v>
          </cell>
          <cell r="G763">
            <v>340421430000</v>
          </cell>
          <cell r="H763">
            <v>91913787</v>
          </cell>
          <cell r="I763">
            <v>48955792000</v>
          </cell>
          <cell r="J763">
            <v>282869800000</v>
          </cell>
          <cell r="K763">
            <v>331825592000</v>
          </cell>
          <cell r="L763">
            <v>0</v>
          </cell>
          <cell r="M763">
            <v>48306222000</v>
          </cell>
          <cell r="N763">
            <v>0</v>
          </cell>
          <cell r="O763">
            <v>48306222000</v>
          </cell>
          <cell r="P763">
            <v>974194000</v>
          </cell>
          <cell r="Q763">
            <v>0</v>
          </cell>
          <cell r="R763">
            <v>974194000</v>
          </cell>
          <cell r="S763">
            <v>7042286000</v>
          </cell>
          <cell r="T763">
            <v>0</v>
          </cell>
          <cell r="U763">
            <v>7042286000</v>
          </cell>
          <cell r="V763">
            <v>514816000</v>
          </cell>
          <cell r="W763">
            <v>0</v>
          </cell>
          <cell r="X763">
            <v>514816000</v>
          </cell>
          <cell r="Y763">
            <v>4584757000</v>
          </cell>
          <cell r="Z763">
            <v>0</v>
          </cell>
          <cell r="AA763">
            <v>4584757000</v>
          </cell>
          <cell r="AK763">
            <v>62837396</v>
          </cell>
          <cell r="AL763">
            <v>2351546</v>
          </cell>
        </row>
        <row r="764">
          <cell r="B764">
            <v>44603</v>
          </cell>
          <cell r="C764">
            <v>13064535000</v>
          </cell>
          <cell r="D764">
            <v>45864945000</v>
          </cell>
          <cell r="G764">
            <v>58929480000</v>
          </cell>
          <cell r="H764">
            <v>15910960</v>
          </cell>
          <cell r="I764">
            <v>161714000</v>
          </cell>
          <cell r="K764">
            <v>161714000</v>
          </cell>
          <cell r="M764">
            <v>2945919000</v>
          </cell>
          <cell r="O764">
            <v>2945919000</v>
          </cell>
          <cell r="P764">
            <v>77753000</v>
          </cell>
          <cell r="R764">
            <v>77753000</v>
          </cell>
          <cell r="S764">
            <v>1487133000</v>
          </cell>
          <cell r="U764">
            <v>1487133000</v>
          </cell>
          <cell r="V764">
            <v>86120000</v>
          </cell>
          <cell r="X764">
            <v>86120000</v>
          </cell>
          <cell r="Y764">
            <v>574121000</v>
          </cell>
          <cell r="AA764">
            <v>574121000</v>
          </cell>
          <cell r="AK764">
            <v>575938</v>
          </cell>
          <cell r="AL764">
            <v>129000</v>
          </cell>
        </row>
        <row r="765">
          <cell r="B765">
            <v>44606</v>
          </cell>
          <cell r="C765">
            <v>124536572000</v>
          </cell>
          <cell r="D765">
            <v>54187820000</v>
          </cell>
          <cell r="G765">
            <v>178724392000</v>
          </cell>
          <cell r="H765">
            <v>48255586</v>
          </cell>
          <cell r="I765">
            <v>532614000</v>
          </cell>
          <cell r="K765">
            <v>532614000</v>
          </cell>
          <cell r="M765">
            <v>3385992000</v>
          </cell>
          <cell r="O765">
            <v>3385992000</v>
          </cell>
          <cell r="P765">
            <v>810895000</v>
          </cell>
          <cell r="R765">
            <v>810895000</v>
          </cell>
          <cell r="S765">
            <v>2191744000</v>
          </cell>
          <cell r="U765">
            <v>2191744000</v>
          </cell>
          <cell r="V765">
            <v>588641000</v>
          </cell>
          <cell r="X765">
            <v>588641000</v>
          </cell>
          <cell r="Y765">
            <v>649199000</v>
          </cell>
          <cell r="AA765">
            <v>649199000</v>
          </cell>
          <cell r="AK765">
            <v>881181</v>
          </cell>
          <cell r="AL765">
            <v>338610</v>
          </cell>
        </row>
        <row r="766">
          <cell r="B766">
            <v>44607</v>
          </cell>
          <cell r="C766">
            <v>66207490000</v>
          </cell>
          <cell r="E766">
            <v>12848400000</v>
          </cell>
          <cell r="G766">
            <v>79055890000</v>
          </cell>
          <cell r="H766">
            <v>21345090</v>
          </cell>
          <cell r="I766">
            <v>9888803000</v>
          </cell>
          <cell r="J766">
            <v>7657500000</v>
          </cell>
          <cell r="K766">
            <v>17546303000</v>
          </cell>
          <cell r="M766">
            <v>1018801000</v>
          </cell>
          <cell r="O766">
            <v>1018801000</v>
          </cell>
          <cell r="P766">
            <v>19095091000</v>
          </cell>
          <cell r="R766">
            <v>19095091000</v>
          </cell>
          <cell r="S766">
            <v>921724000</v>
          </cell>
          <cell r="U766">
            <v>921724000</v>
          </cell>
          <cell r="V766">
            <v>86577000</v>
          </cell>
          <cell r="X766">
            <v>86577000</v>
          </cell>
          <cell r="Y766">
            <v>866271000</v>
          </cell>
          <cell r="AA766">
            <v>866271000</v>
          </cell>
          <cell r="AK766">
            <v>4821095</v>
          </cell>
          <cell r="AL766">
            <v>548160</v>
          </cell>
        </row>
        <row r="767">
          <cell r="B767">
            <v>44608</v>
          </cell>
          <cell r="C767">
            <v>32706405000</v>
          </cell>
          <cell r="G767">
            <v>32706405000</v>
          </cell>
          <cell r="H767">
            <v>8830729</v>
          </cell>
          <cell r="I767">
            <v>9000025000</v>
          </cell>
          <cell r="K767">
            <v>9000025000</v>
          </cell>
          <cell r="M767">
            <v>11321926000</v>
          </cell>
          <cell r="O767">
            <v>11321926000</v>
          </cell>
          <cell r="P767">
            <v>10133915000</v>
          </cell>
          <cell r="R767">
            <v>10133915000</v>
          </cell>
          <cell r="S767">
            <v>1973363000</v>
          </cell>
          <cell r="T767">
            <v>1976500000</v>
          </cell>
          <cell r="U767">
            <v>3949863000</v>
          </cell>
          <cell r="V767">
            <v>252571000</v>
          </cell>
          <cell r="X767">
            <v>252571000</v>
          </cell>
          <cell r="Y767">
            <v>615052000</v>
          </cell>
          <cell r="AA767">
            <v>615052000</v>
          </cell>
          <cell r="AK767">
            <v>3951830</v>
          </cell>
          <cell r="AL767">
            <v>431100</v>
          </cell>
        </row>
        <row r="768">
          <cell r="B768">
            <v>44609</v>
          </cell>
          <cell r="C768">
            <v>111423555000</v>
          </cell>
          <cell r="D768">
            <v>3377895000</v>
          </cell>
          <cell r="G768">
            <v>114801450000</v>
          </cell>
          <cell r="H768">
            <v>30996392</v>
          </cell>
          <cell r="I768">
            <v>497892000</v>
          </cell>
          <cell r="J768">
            <v>15504000000</v>
          </cell>
          <cell r="K768">
            <v>16001892000</v>
          </cell>
          <cell r="M768">
            <v>7416304000</v>
          </cell>
          <cell r="O768">
            <v>7416304000</v>
          </cell>
          <cell r="P768">
            <v>542290000</v>
          </cell>
          <cell r="R768">
            <v>542290000</v>
          </cell>
          <cell r="S768">
            <v>1228295000</v>
          </cell>
          <cell r="U768">
            <v>1228295000</v>
          </cell>
          <cell r="V768">
            <v>41606000</v>
          </cell>
          <cell r="X768">
            <v>41606000</v>
          </cell>
          <cell r="Y768">
            <v>799838000</v>
          </cell>
          <cell r="AA768">
            <v>799838000</v>
          </cell>
          <cell r="AK768">
            <v>3927552</v>
          </cell>
          <cell r="AL768">
            <v>503520</v>
          </cell>
        </row>
        <row r="769">
          <cell r="C769">
            <v>347938557000</v>
          </cell>
          <cell r="D769">
            <v>103430660000</v>
          </cell>
          <cell r="E769">
            <v>12848400000</v>
          </cell>
          <cell r="F769">
            <v>0</v>
          </cell>
          <cell r="G769">
            <v>464217617000</v>
          </cell>
          <cell r="H769">
            <v>125338757</v>
          </cell>
          <cell r="I769">
            <v>20081048000</v>
          </cell>
          <cell r="J769">
            <v>23161500000</v>
          </cell>
          <cell r="K769">
            <v>43242548000</v>
          </cell>
          <cell r="L769">
            <v>0</v>
          </cell>
          <cell r="M769">
            <v>26088942000</v>
          </cell>
          <cell r="N769">
            <v>0</v>
          </cell>
          <cell r="O769">
            <v>26088942000</v>
          </cell>
          <cell r="P769">
            <v>30659944000</v>
          </cell>
          <cell r="Q769">
            <v>0</v>
          </cell>
          <cell r="R769">
            <v>30659944000</v>
          </cell>
          <cell r="S769">
            <v>7802259000</v>
          </cell>
          <cell r="T769">
            <v>1976500000</v>
          </cell>
          <cell r="U769">
            <v>9778759000</v>
          </cell>
          <cell r="V769">
            <v>1055515000</v>
          </cell>
          <cell r="W769">
            <v>0</v>
          </cell>
          <cell r="X769">
            <v>1055515000</v>
          </cell>
          <cell r="Y769">
            <v>3504481000</v>
          </cell>
          <cell r="Z769">
            <v>0</v>
          </cell>
          <cell r="AA769">
            <v>3504481000</v>
          </cell>
          <cell r="AK769">
            <v>14157596</v>
          </cell>
          <cell r="AL769">
            <v>1950390</v>
          </cell>
        </row>
        <row r="770">
          <cell r="B770">
            <v>44610</v>
          </cell>
          <cell r="C770">
            <v>15620470000</v>
          </cell>
          <cell r="E770">
            <v>12274255000</v>
          </cell>
          <cell r="F770">
            <v>6044430000</v>
          </cell>
          <cell r="G770">
            <v>33939155000</v>
          </cell>
          <cell r="H770">
            <v>9163572</v>
          </cell>
          <cell r="I770">
            <v>7725106000</v>
          </cell>
          <cell r="J770">
            <v>2574500000</v>
          </cell>
          <cell r="K770">
            <v>10299606000</v>
          </cell>
          <cell r="M770">
            <v>11843994000</v>
          </cell>
          <cell r="O770">
            <v>11843994000</v>
          </cell>
          <cell r="P770">
            <v>1856074000</v>
          </cell>
          <cell r="R770">
            <v>1856074000</v>
          </cell>
          <cell r="S770">
            <v>1157091000</v>
          </cell>
          <cell r="U770">
            <v>1157091000</v>
          </cell>
          <cell r="V770">
            <v>205581000</v>
          </cell>
          <cell r="X770">
            <v>205581000</v>
          </cell>
          <cell r="Y770">
            <v>578978000</v>
          </cell>
          <cell r="AA770">
            <v>578978000</v>
          </cell>
          <cell r="AK770">
            <v>2987027</v>
          </cell>
          <cell r="AL770">
            <v>307620</v>
          </cell>
        </row>
        <row r="771">
          <cell r="B771">
            <v>44613</v>
          </cell>
          <cell r="C771">
            <v>60697570000</v>
          </cell>
          <cell r="G771">
            <v>60697570000</v>
          </cell>
          <cell r="H771">
            <v>16388344</v>
          </cell>
          <cell r="I771">
            <v>6442136000</v>
          </cell>
          <cell r="K771">
            <v>6442136000</v>
          </cell>
          <cell r="M771">
            <v>19937313000</v>
          </cell>
          <cell r="O771">
            <v>19937313000</v>
          </cell>
          <cell r="P771">
            <v>11570804000</v>
          </cell>
          <cell r="R771">
            <v>11570804000</v>
          </cell>
          <cell r="S771">
            <v>936534000</v>
          </cell>
          <cell r="U771">
            <v>936534000</v>
          </cell>
          <cell r="V771">
            <v>194562000</v>
          </cell>
          <cell r="X771">
            <v>194562000</v>
          </cell>
          <cell r="Y771">
            <v>1061427000</v>
          </cell>
          <cell r="AA771">
            <v>1061427000</v>
          </cell>
          <cell r="AK771">
            <v>4335420</v>
          </cell>
          <cell r="AL771">
            <v>206880</v>
          </cell>
        </row>
        <row r="772">
          <cell r="B772">
            <v>44614</v>
          </cell>
          <cell r="C772">
            <v>60866850000</v>
          </cell>
          <cell r="D772">
            <v>6246305000</v>
          </cell>
          <cell r="G772">
            <v>67113155000</v>
          </cell>
          <cell r="H772">
            <v>18120549</v>
          </cell>
          <cell r="I772">
            <v>3152597000</v>
          </cell>
          <cell r="J772">
            <v>50957000000</v>
          </cell>
          <cell r="K772">
            <v>54109597000</v>
          </cell>
          <cell r="M772">
            <v>858802000</v>
          </cell>
          <cell r="O772">
            <v>858802000</v>
          </cell>
          <cell r="P772">
            <v>3006580000</v>
          </cell>
          <cell r="R772">
            <v>3006580000</v>
          </cell>
          <cell r="S772">
            <v>2712011000</v>
          </cell>
          <cell r="U772">
            <v>2712011000</v>
          </cell>
          <cell r="V772">
            <v>389103000</v>
          </cell>
          <cell r="X772">
            <v>389103000</v>
          </cell>
          <cell r="Y772">
            <v>1129164000</v>
          </cell>
          <cell r="AA772">
            <v>1129164000</v>
          </cell>
          <cell r="AK772">
            <v>10387072</v>
          </cell>
          <cell r="AL772">
            <v>380310</v>
          </cell>
        </row>
        <row r="773">
          <cell r="B773">
            <v>44615</v>
          </cell>
          <cell r="C773">
            <v>77113455000</v>
          </cell>
          <cell r="G773">
            <v>77113455000</v>
          </cell>
          <cell r="H773">
            <v>20820633</v>
          </cell>
          <cell r="I773">
            <v>5010553000</v>
          </cell>
          <cell r="J773">
            <v>82773800000</v>
          </cell>
          <cell r="K773">
            <v>87784353000</v>
          </cell>
          <cell r="M773">
            <v>17844318000</v>
          </cell>
          <cell r="O773">
            <v>17844318000</v>
          </cell>
          <cell r="P773">
            <v>3714985000</v>
          </cell>
          <cell r="R773">
            <v>3714985000</v>
          </cell>
          <cell r="S773">
            <v>1344607000</v>
          </cell>
          <cell r="U773">
            <v>1344607000</v>
          </cell>
          <cell r="V773">
            <v>227330000</v>
          </cell>
          <cell r="X773">
            <v>227330000</v>
          </cell>
          <cell r="Y773">
            <v>639373000</v>
          </cell>
          <cell r="AA773">
            <v>639373000</v>
          </cell>
          <cell r="AK773">
            <v>18007650</v>
          </cell>
          <cell r="AL773">
            <v>450390</v>
          </cell>
        </row>
        <row r="774">
          <cell r="B774">
            <v>44616</v>
          </cell>
          <cell r="C774">
            <v>127625550000</v>
          </cell>
          <cell r="G774">
            <v>127625550000</v>
          </cell>
          <cell r="H774">
            <v>34458899</v>
          </cell>
          <cell r="I774">
            <v>9220035000</v>
          </cell>
          <cell r="J774">
            <v>123328000000</v>
          </cell>
          <cell r="K774">
            <v>132548035000</v>
          </cell>
          <cell r="M774">
            <v>23612109000</v>
          </cell>
          <cell r="N774">
            <v>73187500000</v>
          </cell>
          <cell r="O774">
            <v>96799609000</v>
          </cell>
          <cell r="P774">
            <v>6580065000</v>
          </cell>
          <cell r="R774">
            <v>6580065000</v>
          </cell>
          <cell r="S774">
            <v>1497061000</v>
          </cell>
          <cell r="U774">
            <v>1497061000</v>
          </cell>
          <cell r="V774">
            <v>283294000</v>
          </cell>
          <cell r="X774">
            <v>283294000</v>
          </cell>
          <cell r="Y774">
            <v>735940000</v>
          </cell>
          <cell r="AA774">
            <v>735940000</v>
          </cell>
          <cell r="AK774">
            <v>39901068</v>
          </cell>
          <cell r="AL774">
            <v>894390</v>
          </cell>
        </row>
        <row r="775">
          <cell r="C775">
            <v>341923895000</v>
          </cell>
          <cell r="D775">
            <v>6246305000</v>
          </cell>
          <cell r="E775">
            <v>12274255000</v>
          </cell>
          <cell r="F775">
            <v>6044430000</v>
          </cell>
          <cell r="G775">
            <v>366488885000</v>
          </cell>
          <cell r="H775">
            <v>98951997</v>
          </cell>
          <cell r="I775">
            <v>31550427000</v>
          </cell>
          <cell r="J775">
            <v>259633300000</v>
          </cell>
          <cell r="K775">
            <v>291183727000</v>
          </cell>
          <cell r="L775">
            <v>0</v>
          </cell>
          <cell r="M775">
            <v>74096536000</v>
          </cell>
          <cell r="N775">
            <v>73187500000</v>
          </cell>
          <cell r="O775">
            <v>147284036000</v>
          </cell>
          <cell r="P775">
            <v>26728508000</v>
          </cell>
          <cell r="Q775">
            <v>0</v>
          </cell>
          <cell r="R775">
            <v>26728508000</v>
          </cell>
          <cell r="S775">
            <v>7647304000</v>
          </cell>
          <cell r="T775">
            <v>0</v>
          </cell>
          <cell r="U775">
            <v>7647304000</v>
          </cell>
          <cell r="V775">
            <v>1299870000</v>
          </cell>
          <cell r="W775">
            <v>0</v>
          </cell>
          <cell r="X775">
            <v>1299870000</v>
          </cell>
          <cell r="Y775">
            <v>4144882000</v>
          </cell>
          <cell r="Z775">
            <v>0</v>
          </cell>
          <cell r="AA775">
            <v>4144882000</v>
          </cell>
          <cell r="AK775">
            <v>75618237</v>
          </cell>
          <cell r="AL775">
            <v>2239590</v>
          </cell>
        </row>
        <row r="776">
          <cell r="B776">
            <v>44617</v>
          </cell>
          <cell r="C776">
            <v>43639310000</v>
          </cell>
          <cell r="D776">
            <v>26512900000</v>
          </cell>
          <cell r="G776">
            <v>70152210000</v>
          </cell>
          <cell r="H776">
            <v>18941097</v>
          </cell>
          <cell r="I776">
            <v>4525064000</v>
          </cell>
          <cell r="K776">
            <v>4525064000</v>
          </cell>
          <cell r="M776">
            <v>9184948000</v>
          </cell>
          <cell r="O776">
            <v>9184948000</v>
          </cell>
          <cell r="P776">
            <v>2108802000</v>
          </cell>
          <cell r="R776">
            <v>2108802000</v>
          </cell>
          <cell r="S776">
            <v>1317764000</v>
          </cell>
          <cell r="U776">
            <v>1317764000</v>
          </cell>
          <cell r="V776">
            <v>378375000</v>
          </cell>
          <cell r="X776">
            <v>378375000</v>
          </cell>
          <cell r="Y776">
            <v>522512000</v>
          </cell>
          <cell r="AA776">
            <v>522512000</v>
          </cell>
          <cell r="AK776">
            <v>1948046</v>
          </cell>
          <cell r="AL776">
            <v>410310</v>
          </cell>
        </row>
        <row r="777">
          <cell r="B777">
            <v>44620</v>
          </cell>
          <cell r="C777">
            <v>44698060000</v>
          </cell>
          <cell r="D777">
            <v>72196985000</v>
          </cell>
          <cell r="G777">
            <v>116895045000</v>
          </cell>
          <cell r="H777">
            <v>31561662</v>
          </cell>
          <cell r="I777">
            <v>5160000</v>
          </cell>
          <cell r="J777">
            <v>2544500000</v>
          </cell>
          <cell r="K777">
            <v>2549660000</v>
          </cell>
          <cell r="M777">
            <v>5900000</v>
          </cell>
          <cell r="O777">
            <v>5900000</v>
          </cell>
          <cell r="P777">
            <v>1016842000</v>
          </cell>
          <cell r="R777">
            <v>1016842000</v>
          </cell>
          <cell r="S777">
            <v>1488692000</v>
          </cell>
          <cell r="U777">
            <v>1488692000</v>
          </cell>
          <cell r="V777">
            <v>285039000</v>
          </cell>
          <cell r="X777">
            <v>285039000</v>
          </cell>
          <cell r="Y777">
            <v>705236000</v>
          </cell>
          <cell r="AA777">
            <v>705236000</v>
          </cell>
          <cell r="AK777">
            <v>836752</v>
          </cell>
          <cell r="AL777">
            <v>63900</v>
          </cell>
        </row>
        <row r="778">
          <cell r="B778">
            <v>44621</v>
          </cell>
          <cell r="C778">
            <v>50082115000</v>
          </cell>
          <cell r="D778">
            <v>40045670000</v>
          </cell>
          <cell r="G778">
            <v>90127785000</v>
          </cell>
          <cell r="H778">
            <v>24334502</v>
          </cell>
          <cell r="I778">
            <v>743760000</v>
          </cell>
          <cell r="J778">
            <v>2553500000</v>
          </cell>
          <cell r="K778">
            <v>3297260000</v>
          </cell>
          <cell r="M778">
            <v>1034640000</v>
          </cell>
          <cell r="O778">
            <v>1034640000</v>
          </cell>
          <cell r="P778">
            <v>4790275000</v>
          </cell>
          <cell r="R778">
            <v>4790275000</v>
          </cell>
          <cell r="S778">
            <v>1791305000</v>
          </cell>
          <cell r="U778">
            <v>1791305000</v>
          </cell>
          <cell r="V778">
            <v>240929000</v>
          </cell>
          <cell r="X778">
            <v>240929000</v>
          </cell>
          <cell r="Y778">
            <v>514655000</v>
          </cell>
          <cell r="AA778">
            <v>514655000</v>
          </cell>
          <cell r="AK778">
            <v>1444111</v>
          </cell>
          <cell r="AL778">
            <v>242100</v>
          </cell>
        </row>
        <row r="779">
          <cell r="B779">
            <v>44622</v>
          </cell>
          <cell r="C779">
            <v>55467825000</v>
          </cell>
          <cell r="G779">
            <v>55467825000</v>
          </cell>
          <cell r="H779">
            <v>14976313</v>
          </cell>
          <cell r="I779">
            <v>11920666000</v>
          </cell>
          <cell r="J779">
            <v>2529000000</v>
          </cell>
          <cell r="K779">
            <v>14449666000</v>
          </cell>
          <cell r="M779">
            <v>27092879000</v>
          </cell>
          <cell r="O779">
            <v>27092879000</v>
          </cell>
          <cell r="P779">
            <v>1823075000</v>
          </cell>
          <cell r="R779">
            <v>1823075000</v>
          </cell>
          <cell r="S779">
            <v>1672009000</v>
          </cell>
          <cell r="U779">
            <v>1672009000</v>
          </cell>
          <cell r="V779">
            <v>246543000</v>
          </cell>
          <cell r="X779">
            <v>246543000</v>
          </cell>
          <cell r="Y779">
            <v>767010000</v>
          </cell>
          <cell r="AA779">
            <v>767010000</v>
          </cell>
          <cell r="AK779">
            <v>5155616</v>
          </cell>
          <cell r="AL779">
            <v>82770</v>
          </cell>
        </row>
        <row r="780">
          <cell r="B780">
            <v>44623</v>
          </cell>
          <cell r="C780">
            <v>34599059000</v>
          </cell>
          <cell r="G780">
            <v>34599059000</v>
          </cell>
          <cell r="H780">
            <v>9341746</v>
          </cell>
          <cell r="I780">
            <v>14719297000</v>
          </cell>
          <cell r="J780">
            <v>2531000000</v>
          </cell>
          <cell r="K780">
            <v>17250297000</v>
          </cell>
          <cell r="M780">
            <v>9783354000</v>
          </cell>
          <cell r="O780">
            <v>9783354000</v>
          </cell>
          <cell r="P780">
            <v>2190970000</v>
          </cell>
          <cell r="R780">
            <v>2190970000</v>
          </cell>
          <cell r="S780">
            <v>11921899000</v>
          </cell>
          <cell r="U780">
            <v>11921899000</v>
          </cell>
          <cell r="V780">
            <v>284242000</v>
          </cell>
          <cell r="X780">
            <v>284242000</v>
          </cell>
          <cell r="Y780">
            <v>723262000</v>
          </cell>
          <cell r="AA780">
            <v>723262000</v>
          </cell>
          <cell r="AK780">
            <v>4734867</v>
          </cell>
          <cell r="AL780">
            <v>419490</v>
          </cell>
        </row>
        <row r="781">
          <cell r="C781">
            <v>228486369000</v>
          </cell>
          <cell r="D781">
            <v>138755555000</v>
          </cell>
          <cell r="E781">
            <v>0</v>
          </cell>
          <cell r="F781">
            <v>0</v>
          </cell>
          <cell r="G781">
            <v>367241924000</v>
          </cell>
          <cell r="H781">
            <v>99155320</v>
          </cell>
          <cell r="I781">
            <v>31913947000</v>
          </cell>
          <cell r="J781">
            <v>10158000000</v>
          </cell>
          <cell r="K781">
            <v>42071947000</v>
          </cell>
          <cell r="L781">
            <v>0</v>
          </cell>
          <cell r="M781">
            <v>47101721000</v>
          </cell>
          <cell r="N781">
            <v>0</v>
          </cell>
          <cell r="O781">
            <v>47101721000</v>
          </cell>
          <cell r="P781">
            <v>11929964000</v>
          </cell>
          <cell r="Q781">
            <v>0</v>
          </cell>
          <cell r="R781">
            <v>11929964000</v>
          </cell>
          <cell r="S781">
            <v>18191669000</v>
          </cell>
          <cell r="T781">
            <v>0</v>
          </cell>
          <cell r="U781">
            <v>18191669000</v>
          </cell>
          <cell r="V781">
            <v>1435128000</v>
          </cell>
          <cell r="W781">
            <v>0</v>
          </cell>
          <cell r="X781">
            <v>1435128000</v>
          </cell>
          <cell r="Y781">
            <v>3232675000</v>
          </cell>
          <cell r="Z781">
            <v>0</v>
          </cell>
          <cell r="AA781">
            <v>3232675000</v>
          </cell>
          <cell r="AK781">
            <v>14119392</v>
          </cell>
          <cell r="AL781">
            <v>1218570</v>
          </cell>
        </row>
        <row r="782">
          <cell r="B782">
            <v>44624</v>
          </cell>
          <cell r="C782">
            <v>77593105000</v>
          </cell>
          <cell r="D782">
            <v>1218560000</v>
          </cell>
          <cell r="E782">
            <v>6333935000</v>
          </cell>
          <cell r="G782">
            <v>85145600000</v>
          </cell>
          <cell r="H782">
            <v>22989312</v>
          </cell>
          <cell r="I782">
            <v>6862315000</v>
          </cell>
          <cell r="J782">
            <v>34554300000</v>
          </cell>
          <cell r="K782">
            <v>41416615000</v>
          </cell>
          <cell r="M782">
            <v>5021182000</v>
          </cell>
          <cell r="O782">
            <v>5021182000</v>
          </cell>
          <cell r="P782">
            <v>325985000</v>
          </cell>
          <cell r="R782">
            <v>325985000</v>
          </cell>
          <cell r="S782">
            <v>1645582000</v>
          </cell>
          <cell r="U782">
            <v>1645582000</v>
          </cell>
          <cell r="V782">
            <v>288879000</v>
          </cell>
          <cell r="X782">
            <v>288879000</v>
          </cell>
          <cell r="Y782">
            <v>520833000</v>
          </cell>
          <cell r="AA782">
            <v>520833000</v>
          </cell>
          <cell r="AK782">
            <v>7803570</v>
          </cell>
          <cell r="AL782">
            <v>568200</v>
          </cell>
        </row>
        <row r="783">
          <cell r="B783">
            <v>44627</v>
          </cell>
          <cell r="C783">
            <v>73561695000</v>
          </cell>
          <cell r="F783">
            <v>2977835000</v>
          </cell>
          <cell r="G783">
            <v>76539530000</v>
          </cell>
          <cell r="H783">
            <v>20665673</v>
          </cell>
          <cell r="I783">
            <v>1632926000</v>
          </cell>
          <cell r="J783">
            <v>38107000000</v>
          </cell>
          <cell r="K783">
            <v>39739926000</v>
          </cell>
          <cell r="M783">
            <v>7258793000</v>
          </cell>
          <cell r="O783">
            <v>7258793000</v>
          </cell>
          <cell r="P783">
            <v>2814897000</v>
          </cell>
          <cell r="R783">
            <v>2814897000</v>
          </cell>
          <cell r="S783">
            <v>660931000</v>
          </cell>
          <cell r="U783">
            <v>660931000</v>
          </cell>
          <cell r="V783">
            <v>104368000</v>
          </cell>
          <cell r="X783">
            <v>104368000</v>
          </cell>
          <cell r="Y783">
            <v>837157000</v>
          </cell>
          <cell r="AA783">
            <v>837157000</v>
          </cell>
          <cell r="AK783">
            <v>8296640</v>
          </cell>
          <cell r="AL783">
            <v>420270</v>
          </cell>
        </row>
        <row r="784">
          <cell r="B784">
            <v>44628</v>
          </cell>
          <cell r="C784">
            <v>49583400000</v>
          </cell>
          <cell r="D784">
            <v>12765465000</v>
          </cell>
          <cell r="G784">
            <v>62348865000</v>
          </cell>
          <cell r="H784">
            <v>16834194</v>
          </cell>
          <cell r="I784">
            <v>13902999000</v>
          </cell>
          <cell r="J784">
            <v>46633250000</v>
          </cell>
          <cell r="K784">
            <v>60536249000</v>
          </cell>
          <cell r="M784">
            <v>1786456000</v>
          </cell>
          <cell r="O784">
            <v>1786456000</v>
          </cell>
          <cell r="P784">
            <v>749361000</v>
          </cell>
          <cell r="R784">
            <v>749361000</v>
          </cell>
          <cell r="S784">
            <v>4271789000</v>
          </cell>
          <cell r="U784">
            <v>4271789000</v>
          </cell>
          <cell r="V784">
            <v>420685000</v>
          </cell>
          <cell r="X784">
            <v>420685000</v>
          </cell>
          <cell r="Y784">
            <v>572983000</v>
          </cell>
          <cell r="AA784">
            <v>572983000</v>
          </cell>
          <cell r="AK784">
            <v>10738046</v>
          </cell>
          <cell r="AL784">
            <v>249360</v>
          </cell>
        </row>
        <row r="785">
          <cell r="B785">
            <v>44629</v>
          </cell>
          <cell r="C785">
            <v>38224888000</v>
          </cell>
          <cell r="G785">
            <v>38224888000</v>
          </cell>
          <cell r="H785">
            <v>10320720</v>
          </cell>
          <cell r="I785">
            <v>25269701000</v>
          </cell>
          <cell r="J785">
            <v>2500100000</v>
          </cell>
          <cell r="K785">
            <v>27769801000</v>
          </cell>
          <cell r="M785">
            <v>9799822000</v>
          </cell>
          <cell r="O785">
            <v>9799822000</v>
          </cell>
          <cell r="P785">
            <v>5666385000</v>
          </cell>
          <cell r="R785">
            <v>5666385000</v>
          </cell>
          <cell r="S785">
            <v>2702589000</v>
          </cell>
          <cell r="U785">
            <v>2702589000</v>
          </cell>
          <cell r="V785">
            <v>35213000</v>
          </cell>
          <cell r="X785">
            <v>35213000</v>
          </cell>
          <cell r="Y785">
            <v>487000000</v>
          </cell>
          <cell r="AA785">
            <v>487000000</v>
          </cell>
          <cell r="AK785">
            <v>5197775</v>
          </cell>
          <cell r="AL785">
            <v>172020</v>
          </cell>
        </row>
        <row r="786">
          <cell r="B786">
            <v>44630</v>
          </cell>
          <cell r="C786">
            <v>25045085000</v>
          </cell>
          <cell r="D786">
            <v>18369065000</v>
          </cell>
          <cell r="G786">
            <v>43414150000</v>
          </cell>
          <cell r="H786">
            <v>11721821</v>
          </cell>
          <cell r="I786">
            <v>291611000</v>
          </cell>
          <cell r="K786">
            <v>291611000</v>
          </cell>
          <cell r="M786">
            <v>1881486000</v>
          </cell>
          <cell r="O786">
            <v>1881486000</v>
          </cell>
          <cell r="P786">
            <v>841219000</v>
          </cell>
          <cell r="R786">
            <v>841219000</v>
          </cell>
          <cell r="S786">
            <v>1711604000</v>
          </cell>
          <cell r="U786">
            <v>1711604000</v>
          </cell>
          <cell r="V786">
            <v>562113000</v>
          </cell>
          <cell r="X786">
            <v>562113000</v>
          </cell>
          <cell r="Y786">
            <v>489978000</v>
          </cell>
          <cell r="AA786">
            <v>489978000</v>
          </cell>
          <cell r="AK786">
            <v>624025</v>
          </cell>
          <cell r="AL786">
            <v>129000</v>
          </cell>
        </row>
        <row r="787">
          <cell r="C787">
            <v>264008173000</v>
          </cell>
          <cell r="D787">
            <v>32353090000</v>
          </cell>
          <cell r="E787">
            <v>6333935000</v>
          </cell>
          <cell r="F787">
            <v>2977835000</v>
          </cell>
          <cell r="G787">
            <v>305673033000</v>
          </cell>
          <cell r="H787">
            <v>82531720</v>
          </cell>
          <cell r="I787">
            <v>47959552000</v>
          </cell>
          <cell r="J787">
            <v>121794650000</v>
          </cell>
          <cell r="K787">
            <v>169754202000</v>
          </cell>
          <cell r="L787">
            <v>0</v>
          </cell>
          <cell r="M787">
            <v>25747739000</v>
          </cell>
          <cell r="N787">
            <v>0</v>
          </cell>
          <cell r="O787">
            <v>25747739000</v>
          </cell>
          <cell r="P787">
            <v>10397847000</v>
          </cell>
          <cell r="Q787">
            <v>0</v>
          </cell>
          <cell r="R787">
            <v>10397847000</v>
          </cell>
          <cell r="S787">
            <v>10992495000</v>
          </cell>
          <cell r="T787">
            <v>0</v>
          </cell>
          <cell r="U787">
            <v>10992495000</v>
          </cell>
          <cell r="V787">
            <v>1411258000</v>
          </cell>
          <cell r="W787">
            <v>0</v>
          </cell>
          <cell r="X787">
            <v>1411258000</v>
          </cell>
          <cell r="Y787">
            <v>2907951000</v>
          </cell>
          <cell r="Z787">
            <v>0</v>
          </cell>
          <cell r="AA787">
            <v>2907951000</v>
          </cell>
          <cell r="AK787">
            <v>32660056</v>
          </cell>
          <cell r="AL787">
            <v>1538850</v>
          </cell>
        </row>
        <row r="788">
          <cell r="B788">
            <v>44631</v>
          </cell>
          <cell r="C788">
            <v>71582625000</v>
          </cell>
          <cell r="D788">
            <v>15949775000</v>
          </cell>
          <cell r="F788">
            <v>3057210000</v>
          </cell>
          <cell r="G788">
            <v>90589610000</v>
          </cell>
          <cell r="H788">
            <v>24459195</v>
          </cell>
          <cell r="I788">
            <v>10641178000</v>
          </cell>
          <cell r="J788">
            <v>3360825000</v>
          </cell>
          <cell r="K788">
            <v>14002003000</v>
          </cell>
          <cell r="M788">
            <v>569575000</v>
          </cell>
          <cell r="O788">
            <v>569575000</v>
          </cell>
          <cell r="P788">
            <v>439538000</v>
          </cell>
          <cell r="R788">
            <v>439538000</v>
          </cell>
          <cell r="S788">
            <v>4128839000</v>
          </cell>
          <cell r="U788">
            <v>4128839000</v>
          </cell>
          <cell r="V788">
            <v>320401000</v>
          </cell>
          <cell r="X788">
            <v>320401000</v>
          </cell>
          <cell r="Y788">
            <v>560499000</v>
          </cell>
          <cell r="AA788">
            <v>560499000</v>
          </cell>
          <cell r="AK788">
            <v>2404232</v>
          </cell>
          <cell r="AL788">
            <v>239880</v>
          </cell>
        </row>
        <row r="789">
          <cell r="B789">
            <v>44634</v>
          </cell>
          <cell r="C789">
            <v>63856860000</v>
          </cell>
          <cell r="D789">
            <v>4568265000</v>
          </cell>
          <cell r="G789">
            <v>68425125000</v>
          </cell>
          <cell r="H789">
            <v>18474784</v>
          </cell>
          <cell r="I789">
            <v>10380604000</v>
          </cell>
          <cell r="K789">
            <v>10380604000</v>
          </cell>
          <cell r="M789">
            <v>15214122000</v>
          </cell>
          <cell r="O789">
            <v>15214122000</v>
          </cell>
          <cell r="P789">
            <v>519963000</v>
          </cell>
          <cell r="R789">
            <v>519963000</v>
          </cell>
          <cell r="S789">
            <v>1352354000</v>
          </cell>
          <cell r="U789">
            <v>1352354000</v>
          </cell>
          <cell r="V789">
            <v>302651000</v>
          </cell>
          <cell r="X789">
            <v>302651000</v>
          </cell>
          <cell r="Y789">
            <v>522079000</v>
          </cell>
          <cell r="AA789">
            <v>522079000</v>
          </cell>
          <cell r="AK789">
            <v>3055511</v>
          </cell>
          <cell r="AL789">
            <v>190260</v>
          </cell>
        </row>
        <row r="790">
          <cell r="B790">
            <v>44635</v>
          </cell>
          <cell r="C790">
            <v>94834985000</v>
          </cell>
          <cell r="G790">
            <v>94834985000</v>
          </cell>
          <cell r="H790">
            <v>25605446</v>
          </cell>
          <cell r="I790">
            <v>3198475000</v>
          </cell>
          <cell r="K790">
            <v>3198475000</v>
          </cell>
          <cell r="M790">
            <v>25280524000</v>
          </cell>
          <cell r="N790">
            <v>33048000000</v>
          </cell>
          <cell r="O790">
            <v>58328524000</v>
          </cell>
          <cell r="P790">
            <v>190704000</v>
          </cell>
          <cell r="R790">
            <v>190704000</v>
          </cell>
          <cell r="S790">
            <v>2499374000</v>
          </cell>
          <cell r="T790">
            <v>1926000000</v>
          </cell>
          <cell r="U790">
            <v>4425374000</v>
          </cell>
          <cell r="V790">
            <v>454158000</v>
          </cell>
          <cell r="X790">
            <v>454158000</v>
          </cell>
          <cell r="Y790">
            <v>546066000</v>
          </cell>
          <cell r="AA790">
            <v>546066000</v>
          </cell>
          <cell r="AK790">
            <v>9769605</v>
          </cell>
          <cell r="AL790">
            <v>565980</v>
          </cell>
        </row>
        <row r="791">
          <cell r="B791">
            <v>44636</v>
          </cell>
          <cell r="C791">
            <v>27942385000</v>
          </cell>
          <cell r="G791">
            <v>27942385000</v>
          </cell>
          <cell r="H791">
            <v>7544444</v>
          </cell>
          <cell r="I791">
            <v>9779659000</v>
          </cell>
          <cell r="K791">
            <v>9779659000</v>
          </cell>
          <cell r="M791">
            <v>11872332000</v>
          </cell>
          <cell r="O791">
            <v>11872332000</v>
          </cell>
          <cell r="P791">
            <v>11033000</v>
          </cell>
          <cell r="R791">
            <v>11033000</v>
          </cell>
          <cell r="S791">
            <v>1018747000</v>
          </cell>
          <cell r="U791">
            <v>1018747000</v>
          </cell>
          <cell r="V791">
            <v>188218000</v>
          </cell>
          <cell r="X791">
            <v>188218000</v>
          </cell>
          <cell r="Y791">
            <v>479500000</v>
          </cell>
          <cell r="AA791">
            <v>479500000</v>
          </cell>
          <cell r="AK791">
            <v>2521745</v>
          </cell>
          <cell r="AL791">
            <v>407250</v>
          </cell>
        </row>
        <row r="792">
          <cell r="B792">
            <v>44637</v>
          </cell>
          <cell r="C792">
            <v>67479030000</v>
          </cell>
          <cell r="G792">
            <v>67479030000</v>
          </cell>
          <cell r="H792">
            <v>18219338</v>
          </cell>
          <cell r="I792">
            <v>2749927000</v>
          </cell>
          <cell r="K792">
            <v>2749927000</v>
          </cell>
          <cell r="M792">
            <v>2886552000</v>
          </cell>
          <cell r="O792">
            <v>2886552000</v>
          </cell>
          <cell r="P792">
            <v>373220000</v>
          </cell>
          <cell r="R792">
            <v>373220000</v>
          </cell>
          <cell r="S792">
            <v>881714000</v>
          </cell>
          <cell r="U792">
            <v>881714000</v>
          </cell>
          <cell r="V792">
            <v>272811000</v>
          </cell>
          <cell r="X792">
            <v>272811000</v>
          </cell>
          <cell r="Y792">
            <v>486329000</v>
          </cell>
          <cell r="AA792">
            <v>486329000</v>
          </cell>
          <cell r="AK792">
            <v>826260</v>
          </cell>
          <cell r="AL792">
            <v>108510</v>
          </cell>
        </row>
        <row r="793">
          <cell r="C793">
            <v>325695885000</v>
          </cell>
          <cell r="D793">
            <v>20518040000</v>
          </cell>
          <cell r="E793">
            <v>0</v>
          </cell>
          <cell r="F793">
            <v>3057210000</v>
          </cell>
          <cell r="G793">
            <v>349271135000</v>
          </cell>
          <cell r="H793">
            <v>94303207</v>
          </cell>
          <cell r="I793">
            <v>36749843000</v>
          </cell>
          <cell r="J793">
            <v>3360825000</v>
          </cell>
          <cell r="K793">
            <v>40110668000</v>
          </cell>
          <cell r="L793">
            <v>0</v>
          </cell>
          <cell r="M793">
            <v>55823105000</v>
          </cell>
          <cell r="N793">
            <v>33048000000</v>
          </cell>
          <cell r="O793">
            <v>88871105000</v>
          </cell>
          <cell r="P793">
            <v>1534458000</v>
          </cell>
          <cell r="Q793">
            <v>0</v>
          </cell>
          <cell r="R793">
            <v>1534458000</v>
          </cell>
          <cell r="S793">
            <v>9881028000</v>
          </cell>
          <cell r="T793">
            <v>1926000000</v>
          </cell>
          <cell r="U793">
            <v>11807028000</v>
          </cell>
          <cell r="V793">
            <v>1538239000</v>
          </cell>
          <cell r="W793">
            <v>0</v>
          </cell>
          <cell r="X793">
            <v>1538239000</v>
          </cell>
          <cell r="Y793">
            <v>2594473000</v>
          </cell>
          <cell r="Z793">
            <v>0</v>
          </cell>
          <cell r="AA793">
            <v>2594473000</v>
          </cell>
          <cell r="AK793">
            <v>18577353</v>
          </cell>
          <cell r="AL793">
            <v>1511880</v>
          </cell>
        </row>
        <row r="794">
          <cell r="B794">
            <v>44638</v>
          </cell>
          <cell r="C794">
            <v>72837535000</v>
          </cell>
          <cell r="G794">
            <v>72837535000</v>
          </cell>
          <cell r="H794">
            <v>19666134</v>
          </cell>
          <cell r="I794">
            <v>7035714000</v>
          </cell>
          <cell r="K794">
            <v>7035714000</v>
          </cell>
          <cell r="M794">
            <v>992738000</v>
          </cell>
          <cell r="O794">
            <v>992738000</v>
          </cell>
          <cell r="P794">
            <v>44146000</v>
          </cell>
          <cell r="R794">
            <v>44146000</v>
          </cell>
          <cell r="S794">
            <v>777283000</v>
          </cell>
          <cell r="U794">
            <v>777283000</v>
          </cell>
          <cell r="V794">
            <v>9203000</v>
          </cell>
          <cell r="X794">
            <v>9203000</v>
          </cell>
          <cell r="Y794">
            <v>505156000</v>
          </cell>
          <cell r="AA794">
            <v>505156000</v>
          </cell>
          <cell r="AK794">
            <v>1011338</v>
          </cell>
          <cell r="AL794">
            <v>321150</v>
          </cell>
        </row>
        <row r="795">
          <cell r="B795">
            <v>44641</v>
          </cell>
          <cell r="C795">
            <v>31589265000</v>
          </cell>
          <cell r="G795">
            <v>31589265000</v>
          </cell>
          <cell r="H795">
            <v>8529102</v>
          </cell>
          <cell r="I795">
            <v>3624593000</v>
          </cell>
          <cell r="J795">
            <v>26375250000</v>
          </cell>
          <cell r="K795">
            <v>29999843000</v>
          </cell>
          <cell r="M795">
            <v>247772000</v>
          </cell>
          <cell r="O795">
            <v>247772000</v>
          </cell>
          <cell r="P795">
            <v>121663000</v>
          </cell>
          <cell r="R795">
            <v>121663000</v>
          </cell>
          <cell r="S795">
            <v>1005755000</v>
          </cell>
          <cell r="U795">
            <v>1005755000</v>
          </cell>
          <cell r="V795">
            <v>51521000</v>
          </cell>
          <cell r="X795">
            <v>51521000</v>
          </cell>
          <cell r="Y795">
            <v>506713000</v>
          </cell>
          <cell r="AA795">
            <v>506713000</v>
          </cell>
          <cell r="AK795">
            <v>5347811</v>
          </cell>
          <cell r="AL795">
            <v>189870</v>
          </cell>
        </row>
        <row r="796">
          <cell r="B796">
            <v>44642</v>
          </cell>
          <cell r="C796">
            <v>19713285000</v>
          </cell>
          <cell r="D796">
            <v>32508610000</v>
          </cell>
          <cell r="G796">
            <v>52221895000</v>
          </cell>
          <cell r="H796">
            <v>14099912</v>
          </cell>
          <cell r="I796">
            <v>15169841000</v>
          </cell>
          <cell r="J796">
            <v>45615400000</v>
          </cell>
          <cell r="K796">
            <v>60785241000</v>
          </cell>
          <cell r="M796">
            <v>74602000</v>
          </cell>
          <cell r="O796">
            <v>74602000</v>
          </cell>
          <cell r="P796">
            <v>892093000</v>
          </cell>
          <cell r="R796">
            <v>892093000</v>
          </cell>
          <cell r="S796">
            <v>971549000</v>
          </cell>
          <cell r="U796">
            <v>971549000</v>
          </cell>
          <cell r="V796">
            <v>1861811000</v>
          </cell>
          <cell r="X796">
            <v>1861811000</v>
          </cell>
          <cell r="Y796">
            <v>490462000</v>
          </cell>
          <cell r="AA796">
            <v>490462000</v>
          </cell>
          <cell r="AK796">
            <v>10312491</v>
          </cell>
          <cell r="AL796">
            <v>403784</v>
          </cell>
        </row>
        <row r="797">
          <cell r="B797">
            <v>44643</v>
          </cell>
          <cell r="C797">
            <v>43005661000</v>
          </cell>
          <cell r="D797">
            <v>9032815000</v>
          </cell>
          <cell r="G797">
            <v>52038476000</v>
          </cell>
          <cell r="H797">
            <v>14050389</v>
          </cell>
          <cell r="I797">
            <v>48159000</v>
          </cell>
          <cell r="J797">
            <v>50789000000</v>
          </cell>
          <cell r="K797">
            <v>50837159000</v>
          </cell>
          <cell r="M797">
            <v>28766917000</v>
          </cell>
          <cell r="N797">
            <v>172273000000</v>
          </cell>
          <cell r="O797">
            <v>201039917000</v>
          </cell>
          <cell r="P797">
            <v>183392000</v>
          </cell>
          <cell r="R797">
            <v>183392000</v>
          </cell>
          <cell r="S797">
            <v>1253666000</v>
          </cell>
          <cell r="U797">
            <v>1253666000</v>
          </cell>
          <cell r="V797">
            <v>5566300000</v>
          </cell>
          <cell r="X797">
            <v>5566300000</v>
          </cell>
          <cell r="Y797">
            <v>514635000</v>
          </cell>
          <cell r="AA797">
            <v>514635000</v>
          </cell>
          <cell r="AK797">
            <v>44075131</v>
          </cell>
          <cell r="AL797">
            <v>473640</v>
          </cell>
        </row>
        <row r="798">
          <cell r="B798">
            <v>44644</v>
          </cell>
          <cell r="C798">
            <v>37149805000</v>
          </cell>
          <cell r="D798">
            <v>50008525000</v>
          </cell>
          <cell r="G798">
            <v>87158330000</v>
          </cell>
          <cell r="H798">
            <v>23532749</v>
          </cell>
          <cell r="I798">
            <v>0</v>
          </cell>
          <cell r="J798">
            <v>5049200000</v>
          </cell>
          <cell r="K798">
            <v>5049200000</v>
          </cell>
          <cell r="M798">
            <v>7785617000</v>
          </cell>
          <cell r="N798">
            <v>28637000000</v>
          </cell>
          <cell r="O798">
            <v>36422617000</v>
          </cell>
          <cell r="P798">
            <v>1041946000</v>
          </cell>
          <cell r="R798">
            <v>1041946000</v>
          </cell>
          <cell r="S798">
            <v>946644000</v>
          </cell>
          <cell r="U798">
            <v>946644000</v>
          </cell>
          <cell r="V798">
            <v>760092000</v>
          </cell>
          <cell r="X798">
            <v>760092000</v>
          </cell>
          <cell r="Y798">
            <v>495337000</v>
          </cell>
          <cell r="AA798">
            <v>495337000</v>
          </cell>
          <cell r="AK798">
            <v>7254717</v>
          </cell>
          <cell r="AL798">
            <v>352320</v>
          </cell>
        </row>
        <row r="799">
          <cell r="C799">
            <v>204295551000</v>
          </cell>
          <cell r="D799">
            <v>91549950000</v>
          </cell>
          <cell r="E799">
            <v>0</v>
          </cell>
          <cell r="F799">
            <v>0</v>
          </cell>
          <cell r="G799">
            <v>295845501000</v>
          </cell>
          <cell r="H799">
            <v>79878286</v>
          </cell>
          <cell r="I799">
            <v>25878307000</v>
          </cell>
          <cell r="J799">
            <v>127828850000</v>
          </cell>
          <cell r="K799">
            <v>153707157000</v>
          </cell>
          <cell r="L799">
            <v>0</v>
          </cell>
          <cell r="M799">
            <v>37867646000</v>
          </cell>
          <cell r="N799">
            <v>200910000000</v>
          </cell>
          <cell r="O799">
            <v>238777646000</v>
          </cell>
          <cell r="P799">
            <v>2283240000</v>
          </cell>
          <cell r="Q799">
            <v>0</v>
          </cell>
          <cell r="R799">
            <v>2283240000</v>
          </cell>
          <cell r="S799">
            <v>4954897000</v>
          </cell>
          <cell r="T799">
            <v>0</v>
          </cell>
          <cell r="U799">
            <v>4954897000</v>
          </cell>
          <cell r="V799">
            <v>8248927000</v>
          </cell>
          <cell r="W799">
            <v>0</v>
          </cell>
          <cell r="X799">
            <v>8248927000</v>
          </cell>
          <cell r="Y799">
            <v>2512303000</v>
          </cell>
          <cell r="Z799">
            <v>0</v>
          </cell>
          <cell r="AA799">
            <v>2512303000</v>
          </cell>
          <cell r="AK799">
            <v>68001488</v>
          </cell>
          <cell r="AL799">
            <v>1740764</v>
          </cell>
        </row>
        <row r="800">
          <cell r="B800">
            <v>44645</v>
          </cell>
          <cell r="C800">
            <v>66860310800</v>
          </cell>
          <cell r="D800">
            <v>58668775000</v>
          </cell>
          <cell r="G800">
            <v>125529085800</v>
          </cell>
          <cell r="H800">
            <v>33892853</v>
          </cell>
          <cell r="I800">
            <v>0</v>
          </cell>
          <cell r="M800">
            <v>825767000</v>
          </cell>
          <cell r="N800">
            <v>155090000000</v>
          </cell>
          <cell r="O800">
            <v>155915767000</v>
          </cell>
          <cell r="P800">
            <v>1050815000</v>
          </cell>
          <cell r="R800">
            <v>1050815000</v>
          </cell>
          <cell r="S800">
            <v>623710000</v>
          </cell>
          <cell r="U800">
            <v>623710000</v>
          </cell>
          <cell r="V800">
            <v>18570000</v>
          </cell>
          <cell r="X800">
            <v>18570000</v>
          </cell>
          <cell r="Y800">
            <v>513939000</v>
          </cell>
          <cell r="AA800">
            <v>513939000</v>
          </cell>
          <cell r="AK800">
            <v>28243743</v>
          </cell>
          <cell r="AL800">
            <v>427980</v>
          </cell>
        </row>
        <row r="801">
          <cell r="B801">
            <v>44648</v>
          </cell>
          <cell r="C801">
            <v>67355390000</v>
          </cell>
          <cell r="D801">
            <v>19754240000</v>
          </cell>
          <cell r="G801">
            <v>87109630000</v>
          </cell>
          <cell r="H801">
            <v>23519600</v>
          </cell>
          <cell r="I801">
            <v>4427498000</v>
          </cell>
          <cell r="K801">
            <v>4427498000</v>
          </cell>
          <cell r="M801">
            <v>0</v>
          </cell>
          <cell r="P801">
            <v>1827915000</v>
          </cell>
          <cell r="R801">
            <v>1827915000</v>
          </cell>
          <cell r="S801">
            <v>1179986000</v>
          </cell>
          <cell r="U801">
            <v>1179986000</v>
          </cell>
          <cell r="V801">
            <v>157667000</v>
          </cell>
          <cell r="X801">
            <v>157667000</v>
          </cell>
          <cell r="Y801">
            <v>531349000</v>
          </cell>
          <cell r="AA801">
            <v>531349000</v>
          </cell>
          <cell r="AK801">
            <v>877434</v>
          </cell>
          <cell r="AL801">
            <v>206850</v>
          </cell>
        </row>
        <row r="802">
          <cell r="B802">
            <v>44649</v>
          </cell>
          <cell r="C802">
            <v>3226475000</v>
          </cell>
          <cell r="G802">
            <v>3226475000</v>
          </cell>
          <cell r="H802">
            <v>871148</v>
          </cell>
          <cell r="I802">
            <v>143268000</v>
          </cell>
          <cell r="K802">
            <v>143268000</v>
          </cell>
          <cell r="M802">
            <v>35342908000</v>
          </cell>
          <cell r="O802">
            <v>35342908000</v>
          </cell>
          <cell r="P802">
            <v>2008276000</v>
          </cell>
          <cell r="R802">
            <v>2008276000</v>
          </cell>
          <cell r="S802">
            <v>832060000</v>
          </cell>
          <cell r="U802">
            <v>832060000</v>
          </cell>
          <cell r="V802">
            <v>4368454000</v>
          </cell>
          <cell r="X802">
            <v>4368454000</v>
          </cell>
          <cell r="Y802">
            <v>602300000</v>
          </cell>
          <cell r="AA802">
            <v>602300000</v>
          </cell>
          <cell r="AK802">
            <v>4676105</v>
          </cell>
          <cell r="AL802">
            <v>418590</v>
          </cell>
        </row>
        <row r="803">
          <cell r="B803">
            <v>44650</v>
          </cell>
          <cell r="C803">
            <v>81203870000</v>
          </cell>
          <cell r="D803">
            <v>9280340000</v>
          </cell>
          <cell r="G803">
            <v>90484210000</v>
          </cell>
          <cell r="H803">
            <v>24430737</v>
          </cell>
          <cell r="I803">
            <v>12950800000</v>
          </cell>
          <cell r="J803">
            <v>10090000000</v>
          </cell>
          <cell r="K803">
            <v>23040800000</v>
          </cell>
          <cell r="M803">
            <v>4530659000</v>
          </cell>
          <cell r="O803">
            <v>4530659000</v>
          </cell>
          <cell r="P803">
            <v>350586000</v>
          </cell>
          <cell r="R803">
            <v>350586000</v>
          </cell>
          <cell r="S803">
            <v>1014179000</v>
          </cell>
          <cell r="U803">
            <v>1014179000</v>
          </cell>
          <cell r="V803">
            <v>3668720000</v>
          </cell>
          <cell r="X803">
            <v>3668720000</v>
          </cell>
          <cell r="Y803">
            <v>496770000</v>
          </cell>
          <cell r="AA803">
            <v>496770000</v>
          </cell>
          <cell r="AK803">
            <v>4301465</v>
          </cell>
          <cell r="AL803">
            <v>535620</v>
          </cell>
        </row>
        <row r="804">
          <cell r="B804">
            <v>44651</v>
          </cell>
          <cell r="C804">
            <v>55399050000</v>
          </cell>
          <cell r="D804">
            <v>23473235000</v>
          </cell>
          <cell r="G804">
            <v>78872285000</v>
          </cell>
          <cell r="H804">
            <v>21295517</v>
          </cell>
          <cell r="I804">
            <v>9221220000</v>
          </cell>
          <cell r="J804">
            <v>27355800000</v>
          </cell>
          <cell r="K804">
            <v>36577020000</v>
          </cell>
          <cell r="M804">
            <v>1343041000</v>
          </cell>
          <cell r="N804">
            <v>26947300000</v>
          </cell>
          <cell r="O804">
            <v>28290341000</v>
          </cell>
          <cell r="P804">
            <v>3225563000</v>
          </cell>
          <cell r="R804">
            <v>3225563000</v>
          </cell>
          <cell r="S804">
            <v>671913000</v>
          </cell>
          <cell r="U804">
            <v>671913000</v>
          </cell>
          <cell r="V804">
            <v>1467580000</v>
          </cell>
          <cell r="X804">
            <v>1467580000</v>
          </cell>
          <cell r="Y804">
            <v>753858000</v>
          </cell>
          <cell r="AA804">
            <v>753858000</v>
          </cell>
          <cell r="AK804">
            <v>11576341</v>
          </cell>
          <cell r="AL804">
            <v>689820</v>
          </cell>
        </row>
        <row r="805">
          <cell r="C805">
            <v>274045095800</v>
          </cell>
          <cell r="D805">
            <v>111176590000</v>
          </cell>
          <cell r="E805">
            <v>0</v>
          </cell>
          <cell r="F805">
            <v>0</v>
          </cell>
          <cell r="G805">
            <v>385221685800</v>
          </cell>
          <cell r="H805">
            <v>104009855</v>
          </cell>
          <cell r="I805">
            <v>26742786000</v>
          </cell>
          <cell r="J805">
            <v>37445800000</v>
          </cell>
          <cell r="K805">
            <v>64188586000</v>
          </cell>
          <cell r="L805">
            <v>0</v>
          </cell>
          <cell r="M805">
            <v>42042375000</v>
          </cell>
          <cell r="N805">
            <v>182037300000</v>
          </cell>
          <cell r="O805">
            <v>224079675000</v>
          </cell>
          <cell r="P805">
            <v>8463155000</v>
          </cell>
          <cell r="Q805">
            <v>0</v>
          </cell>
          <cell r="R805">
            <v>8463155000</v>
          </cell>
          <cell r="S805">
            <v>4321848000</v>
          </cell>
          <cell r="T805">
            <v>0</v>
          </cell>
          <cell r="U805">
            <v>4321848000</v>
          </cell>
          <cell r="V805">
            <v>9680991000</v>
          </cell>
          <cell r="W805">
            <v>0</v>
          </cell>
          <cell r="X805">
            <v>9680991000</v>
          </cell>
          <cell r="Y805">
            <v>2898216000</v>
          </cell>
          <cell r="Z805">
            <v>0</v>
          </cell>
          <cell r="AA805">
            <v>2898216000</v>
          </cell>
          <cell r="AK805">
            <v>49675088</v>
          </cell>
          <cell r="AL805">
            <v>2278860</v>
          </cell>
        </row>
        <row r="806">
          <cell r="B806">
            <v>44652</v>
          </cell>
          <cell r="C806">
            <v>10760925000</v>
          </cell>
          <cell r="D806">
            <v>24282150000</v>
          </cell>
          <cell r="G806">
            <v>35043075000</v>
          </cell>
          <cell r="H806">
            <v>9461630</v>
          </cell>
          <cell r="I806">
            <v>1959574000</v>
          </cell>
          <cell r="J806">
            <v>200240750000</v>
          </cell>
          <cell r="K806">
            <v>202200324000</v>
          </cell>
          <cell r="M806">
            <v>33992989000</v>
          </cell>
          <cell r="N806">
            <v>11356300000</v>
          </cell>
          <cell r="O806">
            <v>45349289000</v>
          </cell>
          <cell r="P806">
            <v>2507463000</v>
          </cell>
          <cell r="R806">
            <v>2507463000</v>
          </cell>
          <cell r="S806">
            <v>2014350000</v>
          </cell>
          <cell r="U806">
            <v>2014350000</v>
          </cell>
          <cell r="V806">
            <v>126216000</v>
          </cell>
          <cell r="X806">
            <v>126216000</v>
          </cell>
          <cell r="Y806">
            <v>744323000</v>
          </cell>
          <cell r="AA806">
            <v>744323000</v>
          </cell>
          <cell r="AK806">
            <v>42552720</v>
          </cell>
          <cell r="AL806">
            <v>403200</v>
          </cell>
        </row>
        <row r="807">
          <cell r="B807">
            <v>44655</v>
          </cell>
          <cell r="C807">
            <v>139506145000</v>
          </cell>
          <cell r="D807">
            <v>19502615000</v>
          </cell>
          <cell r="E807">
            <v>6379845000</v>
          </cell>
          <cell r="G807">
            <v>165388605000</v>
          </cell>
          <cell r="H807">
            <v>44654923</v>
          </cell>
          <cell r="I807">
            <v>8868220000</v>
          </cell>
          <cell r="J807">
            <v>156077500000</v>
          </cell>
          <cell r="K807">
            <v>164945720000</v>
          </cell>
          <cell r="M807">
            <v>36926121000</v>
          </cell>
          <cell r="N807">
            <v>64879700000</v>
          </cell>
          <cell r="O807">
            <v>101805821000</v>
          </cell>
          <cell r="P807">
            <v>394638000</v>
          </cell>
          <cell r="R807">
            <v>394638000</v>
          </cell>
          <cell r="S807">
            <v>1267669000</v>
          </cell>
          <cell r="U807">
            <v>1267669000</v>
          </cell>
          <cell r="V807">
            <v>157401000</v>
          </cell>
          <cell r="X807">
            <v>157401000</v>
          </cell>
          <cell r="Y807">
            <v>558936000</v>
          </cell>
          <cell r="AA807">
            <v>558936000</v>
          </cell>
          <cell r="AK807">
            <v>44974978</v>
          </cell>
          <cell r="AL807">
            <v>1128030</v>
          </cell>
        </row>
        <row r="808">
          <cell r="B808">
            <v>44656</v>
          </cell>
          <cell r="C808">
            <v>50485545000</v>
          </cell>
          <cell r="D808">
            <v>56952730000</v>
          </cell>
          <cell r="G808">
            <v>107438275000</v>
          </cell>
          <cell r="H808">
            <v>29008334</v>
          </cell>
          <cell r="I808">
            <v>7742000</v>
          </cell>
          <cell r="J808">
            <v>36180000000</v>
          </cell>
          <cell r="K808">
            <v>36187742000</v>
          </cell>
          <cell r="M808">
            <v>3107673000</v>
          </cell>
          <cell r="N808">
            <v>46205900000</v>
          </cell>
          <cell r="O808">
            <v>49313573000</v>
          </cell>
          <cell r="P808">
            <v>134275000</v>
          </cell>
          <cell r="R808">
            <v>134275000</v>
          </cell>
          <cell r="S808">
            <v>1394424000</v>
          </cell>
          <cell r="U808">
            <v>1394424000</v>
          </cell>
          <cell r="V808">
            <v>582161000</v>
          </cell>
          <cell r="X808">
            <v>582161000</v>
          </cell>
          <cell r="Y808">
            <v>509490000</v>
          </cell>
          <cell r="AA808">
            <v>509490000</v>
          </cell>
          <cell r="AK808">
            <v>15448925</v>
          </cell>
          <cell r="AL808">
            <v>551910</v>
          </cell>
        </row>
        <row r="809">
          <cell r="B809">
            <v>44657</v>
          </cell>
          <cell r="C809">
            <v>27954550000</v>
          </cell>
          <cell r="D809">
            <v>73772385000</v>
          </cell>
          <cell r="G809">
            <v>101726935000</v>
          </cell>
          <cell r="H809">
            <v>27466272</v>
          </cell>
          <cell r="I809">
            <v>0</v>
          </cell>
          <cell r="M809">
            <v>6205000</v>
          </cell>
          <cell r="O809">
            <v>6205000</v>
          </cell>
          <cell r="P809">
            <v>1411738000</v>
          </cell>
          <cell r="R809">
            <v>1411738000</v>
          </cell>
          <cell r="S809">
            <v>1008968000</v>
          </cell>
          <cell r="U809">
            <v>1008968000</v>
          </cell>
          <cell r="V809">
            <v>785373000</v>
          </cell>
          <cell r="X809">
            <v>785373000</v>
          </cell>
          <cell r="Y809">
            <v>657031000</v>
          </cell>
          <cell r="AA809">
            <v>657031000</v>
          </cell>
          <cell r="AK809">
            <v>417886</v>
          </cell>
          <cell r="AL809">
            <v>13620</v>
          </cell>
        </row>
        <row r="810">
          <cell r="B810">
            <v>44658</v>
          </cell>
          <cell r="C810">
            <v>72975365000</v>
          </cell>
          <cell r="D810">
            <v>126831115000</v>
          </cell>
          <cell r="G810">
            <v>199806480000</v>
          </cell>
          <cell r="H810">
            <v>53947750</v>
          </cell>
          <cell r="I810">
            <v>5203000</v>
          </cell>
          <cell r="J810">
            <v>112217900000</v>
          </cell>
          <cell r="K810">
            <v>112223103000</v>
          </cell>
          <cell r="M810">
            <v>3113135000</v>
          </cell>
          <cell r="N810">
            <v>27652100000</v>
          </cell>
          <cell r="O810">
            <v>30765235000</v>
          </cell>
          <cell r="P810">
            <v>4379533000</v>
          </cell>
          <cell r="R810">
            <v>4379533000</v>
          </cell>
          <cell r="S810">
            <v>1349471000</v>
          </cell>
          <cell r="U810">
            <v>1349471000</v>
          </cell>
          <cell r="V810">
            <v>277592000</v>
          </cell>
          <cell r="X810">
            <v>277592000</v>
          </cell>
          <cell r="Y810">
            <v>507011000</v>
          </cell>
          <cell r="AA810">
            <v>507011000</v>
          </cell>
          <cell r="AK810">
            <v>26216850</v>
          </cell>
          <cell r="AL810">
            <v>704910</v>
          </cell>
        </row>
        <row r="811">
          <cell r="C811">
            <v>301682530000</v>
          </cell>
          <cell r="D811">
            <v>301340995000</v>
          </cell>
          <cell r="E811">
            <v>6379845000</v>
          </cell>
          <cell r="F811">
            <v>0</v>
          </cell>
          <cell r="G811">
            <v>609403370000</v>
          </cell>
          <cell r="H811">
            <v>164538909</v>
          </cell>
          <cell r="I811">
            <v>10840739000</v>
          </cell>
          <cell r="J811">
            <v>504716150000</v>
          </cell>
          <cell r="K811">
            <v>515556889000</v>
          </cell>
          <cell r="L811">
            <v>0</v>
          </cell>
          <cell r="M811">
            <v>77146123000</v>
          </cell>
          <cell r="N811">
            <v>150094000000</v>
          </cell>
          <cell r="O811">
            <v>227240123000</v>
          </cell>
          <cell r="P811">
            <v>8827647000</v>
          </cell>
          <cell r="Q811">
            <v>0</v>
          </cell>
          <cell r="R811">
            <v>8827647000</v>
          </cell>
          <cell r="S811">
            <v>7034882000</v>
          </cell>
          <cell r="T811">
            <v>0</v>
          </cell>
          <cell r="U811">
            <v>7034882000</v>
          </cell>
          <cell r="V811">
            <v>1928743000</v>
          </cell>
          <cell r="W811">
            <v>0</v>
          </cell>
          <cell r="X811">
            <v>1928743000</v>
          </cell>
          <cell r="Y811">
            <v>2976791000</v>
          </cell>
          <cell r="Z811">
            <v>0</v>
          </cell>
          <cell r="AA811">
            <v>2976791000</v>
          </cell>
          <cell r="AK811">
            <v>129611359</v>
          </cell>
          <cell r="AL811">
            <v>2801670</v>
          </cell>
        </row>
        <row r="812">
          <cell r="B812">
            <v>44659</v>
          </cell>
          <cell r="C812">
            <v>54236165000</v>
          </cell>
          <cell r="D812">
            <v>54303375000</v>
          </cell>
          <cell r="G812">
            <v>108539540000</v>
          </cell>
          <cell r="H812">
            <v>29305676</v>
          </cell>
          <cell r="I812">
            <v>0</v>
          </cell>
          <cell r="J812">
            <v>25857000000</v>
          </cell>
          <cell r="K812">
            <v>25857000000</v>
          </cell>
          <cell r="M812">
            <v>0</v>
          </cell>
          <cell r="N812">
            <v>61026900000</v>
          </cell>
          <cell r="O812">
            <v>61026900000</v>
          </cell>
          <cell r="P812">
            <v>564639000</v>
          </cell>
          <cell r="R812">
            <v>564639000</v>
          </cell>
          <cell r="S812">
            <v>2264060000</v>
          </cell>
          <cell r="U812">
            <v>2264060000</v>
          </cell>
          <cell r="V812">
            <v>278260000</v>
          </cell>
          <cell r="X812">
            <v>278260000</v>
          </cell>
          <cell r="Y812">
            <v>620634000</v>
          </cell>
          <cell r="AA812">
            <v>620634000</v>
          </cell>
          <cell r="AK812">
            <v>16041682</v>
          </cell>
          <cell r="AL812">
            <v>426720</v>
          </cell>
        </row>
        <row r="813">
          <cell r="B813">
            <v>44663</v>
          </cell>
          <cell r="C813">
            <v>44672150000</v>
          </cell>
          <cell r="D813">
            <v>13471255000</v>
          </cell>
          <cell r="G813">
            <v>58143405000</v>
          </cell>
          <cell r="H813">
            <v>15698719</v>
          </cell>
          <cell r="I813">
            <v>166205000</v>
          </cell>
          <cell r="J813">
            <v>28023800000</v>
          </cell>
          <cell r="K813">
            <v>28190005000</v>
          </cell>
          <cell r="M813">
            <v>3013000</v>
          </cell>
          <cell r="N813">
            <v>5974800000</v>
          </cell>
          <cell r="O813">
            <v>5977813000</v>
          </cell>
          <cell r="P813">
            <v>2353478000</v>
          </cell>
          <cell r="R813">
            <v>2353478000</v>
          </cell>
          <cell r="S813">
            <v>2371416000</v>
          </cell>
          <cell r="U813">
            <v>2371416000</v>
          </cell>
          <cell r="V813">
            <v>69345000</v>
          </cell>
          <cell r="X813">
            <v>69345000</v>
          </cell>
          <cell r="Y813">
            <v>520418000</v>
          </cell>
          <cell r="AA813">
            <v>520418000</v>
          </cell>
          <cell r="AK813">
            <v>6712007</v>
          </cell>
          <cell r="AL813">
            <v>201090</v>
          </cell>
        </row>
        <row r="814">
          <cell r="B814">
            <v>44664</v>
          </cell>
          <cell r="C814">
            <v>53859255000</v>
          </cell>
          <cell r="D814">
            <v>47862860000</v>
          </cell>
          <cell r="G814">
            <v>101722115000</v>
          </cell>
          <cell r="H814">
            <v>27464971</v>
          </cell>
          <cell r="I814">
            <v>2585000</v>
          </cell>
          <cell r="J814">
            <v>15285000000</v>
          </cell>
          <cell r="K814">
            <v>15287585000</v>
          </cell>
          <cell r="M814">
            <v>0</v>
          </cell>
          <cell r="P814">
            <v>109993000</v>
          </cell>
          <cell r="R814">
            <v>109993000</v>
          </cell>
          <cell r="S814">
            <v>1361542000</v>
          </cell>
          <cell r="U814">
            <v>1361542000</v>
          </cell>
          <cell r="V814">
            <v>22590000</v>
          </cell>
          <cell r="X814">
            <v>22590000</v>
          </cell>
          <cell r="Y814">
            <v>496998000</v>
          </cell>
          <cell r="AA814">
            <v>496998000</v>
          </cell>
          <cell r="AK814">
            <v>2966620</v>
          </cell>
          <cell r="AL814">
            <v>238980</v>
          </cell>
        </row>
        <row r="815">
          <cell r="B815">
            <v>44665</v>
          </cell>
          <cell r="C815">
            <v>15375150000</v>
          </cell>
          <cell r="D815">
            <v>0</v>
          </cell>
          <cell r="G815">
            <v>15375150000</v>
          </cell>
          <cell r="H815">
            <v>4151291</v>
          </cell>
          <cell r="I815">
            <v>371828000</v>
          </cell>
          <cell r="K815">
            <v>371828000</v>
          </cell>
          <cell r="M815">
            <v>184860000</v>
          </cell>
          <cell r="O815">
            <v>184860000</v>
          </cell>
          <cell r="P815">
            <v>72765000</v>
          </cell>
          <cell r="R815">
            <v>72765000</v>
          </cell>
          <cell r="S815">
            <v>1252496000</v>
          </cell>
          <cell r="U815">
            <v>1252496000</v>
          </cell>
          <cell r="V815">
            <v>307197000</v>
          </cell>
          <cell r="X815">
            <v>307197000</v>
          </cell>
          <cell r="Y815">
            <v>548040000</v>
          </cell>
          <cell r="AA815">
            <v>548040000</v>
          </cell>
          <cell r="AK815">
            <v>295616</v>
          </cell>
          <cell r="AL815">
            <v>1082852</v>
          </cell>
        </row>
        <row r="816">
          <cell r="C816">
            <v>168142720000</v>
          </cell>
          <cell r="D816">
            <v>115637490000</v>
          </cell>
          <cell r="E816">
            <v>0</v>
          </cell>
          <cell r="F816">
            <v>0</v>
          </cell>
          <cell r="G816">
            <v>283780210000</v>
          </cell>
          <cell r="H816">
            <v>76620657</v>
          </cell>
          <cell r="I816">
            <v>540618000</v>
          </cell>
          <cell r="J816">
            <v>69165800000</v>
          </cell>
          <cell r="K816">
            <v>69706418000</v>
          </cell>
          <cell r="L816">
            <v>0</v>
          </cell>
          <cell r="M816">
            <v>187873000</v>
          </cell>
          <cell r="N816">
            <v>67001700000</v>
          </cell>
          <cell r="O816">
            <v>67189573000</v>
          </cell>
          <cell r="P816">
            <v>3100875000</v>
          </cell>
          <cell r="Q816">
            <v>0</v>
          </cell>
          <cell r="R816">
            <v>3100875000</v>
          </cell>
          <cell r="S816">
            <v>7249514000</v>
          </cell>
          <cell r="T816">
            <v>0</v>
          </cell>
          <cell r="U816">
            <v>7249514000</v>
          </cell>
          <cell r="V816">
            <v>677392000</v>
          </cell>
          <cell r="W816">
            <v>0</v>
          </cell>
          <cell r="X816">
            <v>677392000</v>
          </cell>
          <cell r="Y816">
            <v>2186090000</v>
          </cell>
          <cell r="Z816">
            <v>0</v>
          </cell>
          <cell r="AA816">
            <v>2186090000</v>
          </cell>
          <cell r="AK816">
            <v>26015925</v>
          </cell>
          <cell r="AL816">
            <v>1949642</v>
          </cell>
        </row>
        <row r="817">
          <cell r="B817">
            <v>44666</v>
          </cell>
          <cell r="C817">
            <v>44370587000</v>
          </cell>
          <cell r="D817">
            <v>40815145000</v>
          </cell>
          <cell r="F817">
            <v>3813140000</v>
          </cell>
          <cell r="G817">
            <v>88998872000</v>
          </cell>
          <cell r="H817">
            <v>24029695</v>
          </cell>
          <cell r="I817">
            <v>2519551000</v>
          </cell>
          <cell r="K817">
            <v>2519551000</v>
          </cell>
          <cell r="M817">
            <v>9296000</v>
          </cell>
          <cell r="O817">
            <v>9296000</v>
          </cell>
          <cell r="P817">
            <v>1299272000</v>
          </cell>
          <cell r="R817">
            <v>1299272000</v>
          </cell>
          <cell r="S817">
            <v>2130095000</v>
          </cell>
          <cell r="U817">
            <v>2130095000</v>
          </cell>
          <cell r="V817">
            <v>56107000</v>
          </cell>
          <cell r="X817">
            <v>56107000</v>
          </cell>
          <cell r="Y817">
            <v>515883000</v>
          </cell>
          <cell r="AA817">
            <v>515883000</v>
          </cell>
          <cell r="AK817">
            <v>705262</v>
          </cell>
          <cell r="AL817">
            <v>87990</v>
          </cell>
        </row>
        <row r="818">
          <cell r="B818">
            <v>44669</v>
          </cell>
          <cell r="C818">
            <v>60099142000</v>
          </cell>
          <cell r="D818">
            <v>0</v>
          </cell>
          <cell r="G818">
            <v>60099142000</v>
          </cell>
          <cell r="H818">
            <v>16226768</v>
          </cell>
          <cell r="I818">
            <v>12208608000</v>
          </cell>
          <cell r="J818">
            <v>44633400000</v>
          </cell>
          <cell r="K818">
            <v>56842008000</v>
          </cell>
          <cell r="M818">
            <v>12789460000</v>
          </cell>
          <cell r="O818">
            <v>12789460000</v>
          </cell>
          <cell r="P818">
            <v>1838860000</v>
          </cell>
          <cell r="R818">
            <v>1838860000</v>
          </cell>
          <cell r="S818">
            <v>3444495000</v>
          </cell>
          <cell r="U818">
            <v>3444495000</v>
          </cell>
          <cell r="V818">
            <v>237349000</v>
          </cell>
          <cell r="X818">
            <v>237349000</v>
          </cell>
          <cell r="Y818">
            <v>678610000</v>
          </cell>
          <cell r="AA818">
            <v>678610000</v>
          </cell>
          <cell r="AK818">
            <v>11403329</v>
          </cell>
          <cell r="AL818">
            <v>391260</v>
          </cell>
        </row>
        <row r="819">
          <cell r="B819">
            <v>44670</v>
          </cell>
          <cell r="C819">
            <v>224357057000</v>
          </cell>
          <cell r="D819">
            <v>3712575000</v>
          </cell>
          <cell r="E819">
            <v>2239605000</v>
          </cell>
          <cell r="G819">
            <v>230309237000</v>
          </cell>
          <cell r="H819">
            <v>62183494</v>
          </cell>
          <cell r="I819">
            <v>4959906000</v>
          </cell>
          <cell r="J819">
            <v>180946200000</v>
          </cell>
          <cell r="K819">
            <v>185906106000</v>
          </cell>
          <cell r="M819">
            <v>6394136000</v>
          </cell>
          <cell r="N819">
            <v>8926600000</v>
          </cell>
          <cell r="O819">
            <v>15320736000</v>
          </cell>
          <cell r="P819">
            <v>984394000</v>
          </cell>
          <cell r="R819">
            <v>984394000</v>
          </cell>
          <cell r="S819">
            <v>3901789000</v>
          </cell>
          <cell r="U819">
            <v>3901789000</v>
          </cell>
          <cell r="V819">
            <v>76677000</v>
          </cell>
          <cell r="X819">
            <v>76677000</v>
          </cell>
          <cell r="Y819">
            <v>527701000</v>
          </cell>
          <cell r="AA819">
            <v>527701000</v>
          </cell>
          <cell r="AK819">
            <v>35996321</v>
          </cell>
          <cell r="AL819">
            <v>512340</v>
          </cell>
        </row>
        <row r="820">
          <cell r="B820">
            <v>44671</v>
          </cell>
          <cell r="C820">
            <v>180090220000</v>
          </cell>
          <cell r="D820">
            <v>14564990000</v>
          </cell>
          <cell r="G820">
            <v>194655210000</v>
          </cell>
          <cell r="H820">
            <v>52556907</v>
          </cell>
          <cell r="I820">
            <v>6310251000</v>
          </cell>
          <cell r="J820">
            <v>145732500000</v>
          </cell>
          <cell r="K820">
            <v>152042751000</v>
          </cell>
          <cell r="M820">
            <v>8887967000</v>
          </cell>
          <cell r="O820">
            <v>8887967000</v>
          </cell>
          <cell r="P820">
            <v>699915000</v>
          </cell>
          <cell r="R820">
            <v>699915000</v>
          </cell>
          <cell r="S820">
            <v>2199159000</v>
          </cell>
          <cell r="U820">
            <v>2199159000</v>
          </cell>
          <cell r="V820">
            <v>303547000</v>
          </cell>
          <cell r="X820">
            <v>303547000</v>
          </cell>
          <cell r="Y820">
            <v>542852000</v>
          </cell>
          <cell r="AA820">
            <v>542852000</v>
          </cell>
          <cell r="AK820">
            <v>28277769</v>
          </cell>
          <cell r="AL820">
            <v>406080</v>
          </cell>
        </row>
        <row r="821">
          <cell r="B821">
            <v>44672</v>
          </cell>
          <cell r="C821">
            <v>159078700000</v>
          </cell>
          <cell r="D821">
            <v>73683270000</v>
          </cell>
          <cell r="G821">
            <v>232761970000</v>
          </cell>
          <cell r="H821">
            <v>62845732</v>
          </cell>
          <cell r="I821">
            <v>0</v>
          </cell>
          <cell r="J821">
            <v>130811100000</v>
          </cell>
          <cell r="K821">
            <v>130811100000</v>
          </cell>
          <cell r="M821">
            <v>11802959000</v>
          </cell>
          <cell r="N821">
            <v>14637000000</v>
          </cell>
          <cell r="O821">
            <v>26439959000</v>
          </cell>
          <cell r="P821">
            <v>2294605000</v>
          </cell>
          <cell r="R821">
            <v>2294605000</v>
          </cell>
          <cell r="S821">
            <v>1920670000</v>
          </cell>
          <cell r="U821">
            <v>1920670000</v>
          </cell>
          <cell r="V821">
            <v>235072000</v>
          </cell>
          <cell r="X821">
            <v>235072000</v>
          </cell>
          <cell r="Y821">
            <v>568959000</v>
          </cell>
          <cell r="AA821">
            <v>568959000</v>
          </cell>
          <cell r="AK821">
            <v>27997463</v>
          </cell>
          <cell r="AL821">
            <v>577770</v>
          </cell>
        </row>
        <row r="822">
          <cell r="C822">
            <v>667995706000</v>
          </cell>
          <cell r="D822">
            <v>132775980000</v>
          </cell>
          <cell r="E822">
            <v>2239605000</v>
          </cell>
          <cell r="F822">
            <v>3813140000</v>
          </cell>
          <cell r="G822">
            <v>806824431000</v>
          </cell>
          <cell r="H822">
            <v>217842596</v>
          </cell>
          <cell r="I822">
            <v>25998316000</v>
          </cell>
          <cell r="J822">
            <v>502123200000</v>
          </cell>
          <cell r="K822">
            <v>528121516000</v>
          </cell>
          <cell r="L822">
            <v>0</v>
          </cell>
          <cell r="M822">
            <v>39883818000</v>
          </cell>
          <cell r="N822">
            <v>23563600000</v>
          </cell>
          <cell r="O822">
            <v>63447418000</v>
          </cell>
          <cell r="P822">
            <v>7117046000</v>
          </cell>
          <cell r="Q822">
            <v>0</v>
          </cell>
          <cell r="R822">
            <v>7117046000</v>
          </cell>
          <cell r="S822">
            <v>13596208000</v>
          </cell>
          <cell r="T822">
            <v>0</v>
          </cell>
          <cell r="U822">
            <v>13596208000</v>
          </cell>
          <cell r="V822">
            <v>908752000</v>
          </cell>
          <cell r="W822">
            <v>0</v>
          </cell>
          <cell r="X822">
            <v>908752000</v>
          </cell>
          <cell r="Y822">
            <v>2834005000</v>
          </cell>
          <cell r="Z822">
            <v>0</v>
          </cell>
          <cell r="AA822">
            <v>2834005000</v>
          </cell>
          <cell r="AK822">
            <v>104380144</v>
          </cell>
          <cell r="AL822">
            <v>1975440</v>
          </cell>
        </row>
        <row r="823">
          <cell r="B823">
            <v>44673</v>
          </cell>
          <cell r="C823">
            <v>395084950000</v>
          </cell>
          <cell r="D823">
            <v>51713390000</v>
          </cell>
          <cell r="E823">
            <v>5892510000</v>
          </cell>
          <cell r="F823">
            <v>3181505000</v>
          </cell>
          <cell r="G823">
            <v>455872355000</v>
          </cell>
          <cell r="H823">
            <v>123085536</v>
          </cell>
          <cell r="I823">
            <v>7254000000</v>
          </cell>
          <cell r="J823">
            <v>168805100000</v>
          </cell>
          <cell r="K823">
            <v>176059100000</v>
          </cell>
          <cell r="M823">
            <v>16247213000</v>
          </cell>
          <cell r="N823">
            <v>43298500000</v>
          </cell>
          <cell r="O823">
            <v>59545713000</v>
          </cell>
          <cell r="P823">
            <v>663270000</v>
          </cell>
          <cell r="R823">
            <v>663270000</v>
          </cell>
          <cell r="S823">
            <v>1787028000</v>
          </cell>
          <cell r="U823">
            <v>1787028000</v>
          </cell>
          <cell r="V823">
            <v>532172000</v>
          </cell>
          <cell r="X823">
            <v>532172000</v>
          </cell>
          <cell r="Y823">
            <v>527461000</v>
          </cell>
          <cell r="AA823">
            <v>527461000</v>
          </cell>
          <cell r="AK823">
            <v>41095850</v>
          </cell>
          <cell r="AL823">
            <v>426660</v>
          </cell>
        </row>
        <row r="824">
          <cell r="B824">
            <v>44676</v>
          </cell>
          <cell r="C824">
            <v>47655550000</v>
          </cell>
          <cell r="D824">
            <v>55537135000</v>
          </cell>
          <cell r="F824">
            <v>3087655000</v>
          </cell>
          <cell r="G824">
            <v>106280340000</v>
          </cell>
          <cell r="H824">
            <v>28695692</v>
          </cell>
          <cell r="I824">
            <v>9589554000</v>
          </cell>
          <cell r="J824">
            <v>24045000000</v>
          </cell>
          <cell r="K824">
            <v>33634554000</v>
          </cell>
          <cell r="M824">
            <v>2873741000</v>
          </cell>
          <cell r="N824">
            <v>48176500000</v>
          </cell>
          <cell r="O824">
            <v>51050241000</v>
          </cell>
          <cell r="P824">
            <v>1544750000</v>
          </cell>
          <cell r="R824">
            <v>1544750000</v>
          </cell>
          <cell r="S824">
            <v>3487063000</v>
          </cell>
          <cell r="U824">
            <v>3487063000</v>
          </cell>
          <cell r="V824">
            <v>566724000</v>
          </cell>
          <cell r="X824">
            <v>566724000</v>
          </cell>
          <cell r="Y824">
            <v>6024158000</v>
          </cell>
          <cell r="AA824">
            <v>6024158000</v>
          </cell>
          <cell r="AK824">
            <v>15601157</v>
          </cell>
          <cell r="AL824">
            <v>582930</v>
          </cell>
        </row>
        <row r="825">
          <cell r="B825">
            <v>44677</v>
          </cell>
          <cell r="C825">
            <v>77161040000</v>
          </cell>
          <cell r="D825">
            <v>81782235000</v>
          </cell>
          <cell r="G825">
            <v>158943275000</v>
          </cell>
          <cell r="H825">
            <v>42914684</v>
          </cell>
          <cell r="I825">
            <v>2311000000</v>
          </cell>
          <cell r="J825">
            <v>69151900000</v>
          </cell>
          <cell r="K825">
            <v>71462900000</v>
          </cell>
          <cell r="M825">
            <v>842717000</v>
          </cell>
          <cell r="N825">
            <v>57491500000</v>
          </cell>
          <cell r="O825">
            <v>58334217000</v>
          </cell>
          <cell r="P825">
            <v>298304000</v>
          </cell>
          <cell r="R825">
            <v>298304000</v>
          </cell>
          <cell r="S825">
            <v>1780455000</v>
          </cell>
          <cell r="U825">
            <v>1780455000</v>
          </cell>
          <cell r="V825">
            <v>540087000</v>
          </cell>
          <cell r="X825">
            <v>540087000</v>
          </cell>
          <cell r="Y825">
            <v>531303000</v>
          </cell>
          <cell r="AA825">
            <v>531303000</v>
          </cell>
          <cell r="AK825">
            <v>23476630</v>
          </cell>
          <cell r="AL825">
            <v>652020</v>
          </cell>
        </row>
        <row r="826">
          <cell r="B826">
            <v>44678</v>
          </cell>
          <cell r="C826">
            <v>69747105000</v>
          </cell>
          <cell r="D826">
            <v>21921735000</v>
          </cell>
          <cell r="G826">
            <v>91668840000</v>
          </cell>
          <cell r="H826">
            <v>24750587</v>
          </cell>
          <cell r="I826">
            <v>0</v>
          </cell>
          <cell r="J826">
            <v>18614800000</v>
          </cell>
          <cell r="K826">
            <v>18614800000</v>
          </cell>
          <cell r="M826">
            <v>90261000</v>
          </cell>
          <cell r="N826">
            <v>8370600000</v>
          </cell>
          <cell r="O826">
            <v>8460861000</v>
          </cell>
          <cell r="P826">
            <v>690636000</v>
          </cell>
          <cell r="R826">
            <v>690636000</v>
          </cell>
          <cell r="S826">
            <v>2244927000</v>
          </cell>
          <cell r="U826">
            <v>2244927000</v>
          </cell>
          <cell r="V826">
            <v>259080000</v>
          </cell>
          <cell r="X826">
            <v>259080000</v>
          </cell>
          <cell r="Y826">
            <v>489583000</v>
          </cell>
          <cell r="AA826">
            <v>489583000</v>
          </cell>
          <cell r="AK826">
            <v>5265017</v>
          </cell>
          <cell r="AL826">
            <v>533970</v>
          </cell>
        </row>
        <row r="827">
          <cell r="B827">
            <v>44679</v>
          </cell>
          <cell r="C827">
            <v>20416275000</v>
          </cell>
          <cell r="D827">
            <v>61688565000</v>
          </cell>
          <cell r="G827">
            <v>82104840000</v>
          </cell>
          <cell r="H827">
            <v>22168307</v>
          </cell>
          <cell r="I827">
            <v>2387000</v>
          </cell>
          <cell r="J827">
            <v>11739000000</v>
          </cell>
          <cell r="K827">
            <v>11741387000</v>
          </cell>
          <cell r="M827">
            <v>4792763000</v>
          </cell>
          <cell r="N827">
            <v>30023500000</v>
          </cell>
          <cell r="O827">
            <v>34816263000</v>
          </cell>
          <cell r="P827">
            <v>195224000</v>
          </cell>
          <cell r="R827">
            <v>195224000</v>
          </cell>
          <cell r="S827">
            <v>1502863000</v>
          </cell>
          <cell r="U827">
            <v>1502863000</v>
          </cell>
          <cell r="V827">
            <v>117280000</v>
          </cell>
          <cell r="X827">
            <v>117280000</v>
          </cell>
          <cell r="Y827">
            <v>488222000</v>
          </cell>
          <cell r="AA827">
            <v>488222000</v>
          </cell>
          <cell r="AK827">
            <v>8283914</v>
          </cell>
          <cell r="AL827">
            <v>411780</v>
          </cell>
        </row>
        <row r="828">
          <cell r="C828">
            <v>610064920000</v>
          </cell>
          <cell r="D828">
            <v>272643060000</v>
          </cell>
          <cell r="E828">
            <v>5892510000</v>
          </cell>
          <cell r="F828">
            <v>6269160000</v>
          </cell>
          <cell r="G828">
            <v>894869650000</v>
          </cell>
          <cell r="H828">
            <v>241614806</v>
          </cell>
          <cell r="I828">
            <v>19156941000</v>
          </cell>
          <cell r="J828">
            <v>292355800000</v>
          </cell>
          <cell r="K828">
            <v>311512741000</v>
          </cell>
          <cell r="L828">
            <v>0</v>
          </cell>
          <cell r="M828">
            <v>24846695000</v>
          </cell>
          <cell r="N828">
            <v>187360600000</v>
          </cell>
          <cell r="O828">
            <v>212207295000</v>
          </cell>
          <cell r="P828">
            <v>3392184000</v>
          </cell>
          <cell r="Q828">
            <v>0</v>
          </cell>
          <cell r="R828">
            <v>3392184000</v>
          </cell>
          <cell r="S828">
            <v>10802336000</v>
          </cell>
          <cell r="T828">
            <v>0</v>
          </cell>
          <cell r="U828">
            <v>10802336000</v>
          </cell>
          <cell r="V828">
            <v>2015343000</v>
          </cell>
          <cell r="W828">
            <v>0</v>
          </cell>
          <cell r="X828">
            <v>2015343000</v>
          </cell>
          <cell r="Y828">
            <v>8060727000</v>
          </cell>
          <cell r="Z828">
            <v>0</v>
          </cell>
          <cell r="AA828">
            <v>8060727000</v>
          </cell>
          <cell r="AK828">
            <v>93722568</v>
          </cell>
          <cell r="AL828">
            <v>2607360</v>
          </cell>
        </row>
        <row r="829">
          <cell r="B829">
            <v>44680</v>
          </cell>
          <cell r="C829">
            <v>23894060000</v>
          </cell>
          <cell r="D829">
            <v>3151695000</v>
          </cell>
          <cell r="G829">
            <v>27045755000</v>
          </cell>
          <cell r="H829">
            <v>7302354</v>
          </cell>
          <cell r="I829">
            <v>777022000</v>
          </cell>
          <cell r="J829">
            <v>5203660000</v>
          </cell>
          <cell r="K829">
            <v>5980682000</v>
          </cell>
          <cell r="M829">
            <v>115213000</v>
          </cell>
          <cell r="O829">
            <v>115213000</v>
          </cell>
          <cell r="P829">
            <v>3870715000</v>
          </cell>
          <cell r="R829">
            <v>3870715000</v>
          </cell>
          <cell r="S829">
            <v>1272945000</v>
          </cell>
          <cell r="U829">
            <v>1272945000</v>
          </cell>
          <cell r="V829">
            <v>320165000</v>
          </cell>
          <cell r="X829">
            <v>320165000</v>
          </cell>
          <cell r="Y829">
            <v>519506000</v>
          </cell>
          <cell r="AA829">
            <v>519506000</v>
          </cell>
          <cell r="AK829">
            <v>1679220</v>
          </cell>
          <cell r="AL829">
            <v>154050</v>
          </cell>
        </row>
        <row r="830">
          <cell r="B830">
            <v>44685</v>
          </cell>
          <cell r="C830">
            <v>2685250000</v>
          </cell>
          <cell r="G830">
            <v>2685250000</v>
          </cell>
          <cell r="H830">
            <v>725018</v>
          </cell>
          <cell r="I830">
            <v>4719000</v>
          </cell>
          <cell r="K830" t="str">
            <v>4,719,000</v>
          </cell>
          <cell r="M830">
            <v>2903000</v>
          </cell>
          <cell r="O830" t="str">
            <v>2,903,000</v>
          </cell>
          <cell r="P830">
            <v>130804000</v>
          </cell>
          <cell r="R830">
            <v>130804000</v>
          </cell>
          <cell r="S830">
            <v>948733000</v>
          </cell>
          <cell r="U830" t="str">
            <v>948,733,000</v>
          </cell>
          <cell r="V830">
            <v>230243000</v>
          </cell>
          <cell r="X830">
            <v>230243000</v>
          </cell>
          <cell r="Y830">
            <v>3660000</v>
          </cell>
          <cell r="AA830" t="str">
            <v>3,660,000</v>
          </cell>
          <cell r="AK830">
            <v>142675</v>
          </cell>
          <cell r="AL830">
            <v>33780</v>
          </cell>
        </row>
        <row r="831">
          <cell r="B831">
            <v>44686</v>
          </cell>
          <cell r="C831">
            <v>68011200000</v>
          </cell>
          <cell r="G831">
            <v>68011200000</v>
          </cell>
          <cell r="H831">
            <v>18363024</v>
          </cell>
          <cell r="I831">
            <v>2360000</v>
          </cell>
          <cell r="J831">
            <v>23397000000</v>
          </cell>
          <cell r="K831" t="str">
            <v>23,399,360,000</v>
          </cell>
          <cell r="M831">
            <v>8704000</v>
          </cell>
          <cell r="O831" t="str">
            <v>8,704,000</v>
          </cell>
          <cell r="P831">
            <v>236458000</v>
          </cell>
          <cell r="R831">
            <v>236458000</v>
          </cell>
          <cell r="S831">
            <v>2342630000</v>
          </cell>
          <cell r="U831">
            <v>2342630000</v>
          </cell>
          <cell r="V831">
            <v>251656000</v>
          </cell>
          <cell r="X831" t="str">
            <v>251,656,000</v>
          </cell>
          <cell r="Y831">
            <v>504466000</v>
          </cell>
          <cell r="AA831">
            <v>504466000</v>
          </cell>
          <cell r="AK831">
            <v>4572858</v>
          </cell>
          <cell r="AL831">
            <v>705840</v>
          </cell>
        </row>
        <row r="832">
          <cell r="C832">
            <v>94590510000</v>
          </cell>
          <cell r="D832">
            <v>3151695000</v>
          </cell>
          <cell r="E832">
            <v>0</v>
          </cell>
          <cell r="F832">
            <v>0</v>
          </cell>
          <cell r="G832">
            <v>97742205000</v>
          </cell>
          <cell r="H832">
            <v>26390396</v>
          </cell>
          <cell r="I832">
            <v>784101000</v>
          </cell>
          <cell r="J832">
            <v>28600660000</v>
          </cell>
          <cell r="K832">
            <v>5980682000</v>
          </cell>
          <cell r="L832">
            <v>0</v>
          </cell>
          <cell r="M832">
            <v>126820000</v>
          </cell>
          <cell r="N832">
            <v>0</v>
          </cell>
          <cell r="O832">
            <v>115213000</v>
          </cell>
          <cell r="P832">
            <v>4237977000</v>
          </cell>
          <cell r="Q832">
            <v>0</v>
          </cell>
          <cell r="R832">
            <v>4237977000</v>
          </cell>
          <cell r="S832">
            <v>4564308000</v>
          </cell>
          <cell r="T832">
            <v>0</v>
          </cell>
          <cell r="U832">
            <v>3615575000</v>
          </cell>
          <cell r="V832">
            <v>802064000</v>
          </cell>
          <cell r="W832">
            <v>0</v>
          </cell>
          <cell r="X832">
            <v>550408000</v>
          </cell>
          <cell r="Y832">
            <v>1027632000</v>
          </cell>
          <cell r="Z832">
            <v>0</v>
          </cell>
          <cell r="AA832">
            <v>1023972000</v>
          </cell>
          <cell r="AK832">
            <v>6394753</v>
          </cell>
          <cell r="AL832">
            <v>893670</v>
          </cell>
        </row>
        <row r="833">
          <cell r="B833">
            <v>44687</v>
          </cell>
          <cell r="C833">
            <v>26778592950</v>
          </cell>
          <cell r="G833">
            <v>26778592950</v>
          </cell>
          <cell r="H833">
            <v>7230220</v>
          </cell>
          <cell r="I833">
            <v>6528171000</v>
          </cell>
          <cell r="J833">
            <v>8953000000</v>
          </cell>
          <cell r="K833">
            <v>15481171000</v>
          </cell>
          <cell r="M833">
            <v>5682000</v>
          </cell>
          <cell r="O833">
            <v>5682000</v>
          </cell>
          <cell r="P833">
            <v>239673000</v>
          </cell>
          <cell r="R833">
            <v>239673000</v>
          </cell>
          <cell r="S833">
            <v>2845784000</v>
          </cell>
          <cell r="U833">
            <v>2845784000</v>
          </cell>
          <cell r="V833">
            <v>367878000</v>
          </cell>
          <cell r="X833">
            <v>367878000</v>
          </cell>
          <cell r="Y833">
            <v>676793000</v>
          </cell>
          <cell r="AA833">
            <v>676793000</v>
          </cell>
          <cell r="AK833">
            <v>2763250</v>
          </cell>
          <cell r="AL833">
            <v>284580</v>
          </cell>
        </row>
        <row r="834">
          <cell r="B834">
            <v>44690</v>
          </cell>
          <cell r="C834">
            <v>103616120000</v>
          </cell>
          <cell r="G834">
            <v>103616120000</v>
          </cell>
          <cell r="H834">
            <v>27976352</v>
          </cell>
          <cell r="I834">
            <v>11451661000</v>
          </cell>
          <cell r="K834">
            <v>11451661000</v>
          </cell>
          <cell r="M834">
            <v>9639471000</v>
          </cell>
          <cell r="O834">
            <v>9639471000</v>
          </cell>
          <cell r="P834">
            <v>1856960000</v>
          </cell>
          <cell r="R834">
            <v>1856960000</v>
          </cell>
          <cell r="S834">
            <v>1135313000</v>
          </cell>
          <cell r="U834">
            <v>1135313000</v>
          </cell>
          <cell r="V834">
            <v>452669000</v>
          </cell>
          <cell r="X834">
            <v>452669000</v>
          </cell>
          <cell r="Y834">
            <v>487319000</v>
          </cell>
          <cell r="AA834">
            <v>487319000</v>
          </cell>
          <cell r="AK834">
            <v>2702526</v>
          </cell>
          <cell r="AL834">
            <v>426720</v>
          </cell>
        </row>
        <row r="835">
          <cell r="B835">
            <v>44691</v>
          </cell>
          <cell r="C835">
            <v>130784649000</v>
          </cell>
          <cell r="G835">
            <v>130784649000</v>
          </cell>
          <cell r="H835">
            <v>35311855</v>
          </cell>
          <cell r="I835">
            <v>36152731000</v>
          </cell>
          <cell r="K835">
            <v>36152731000</v>
          </cell>
          <cell r="M835">
            <v>9375684000</v>
          </cell>
          <cell r="N835">
            <v>97585100000</v>
          </cell>
          <cell r="O835">
            <v>106960784000</v>
          </cell>
          <cell r="P835">
            <v>1172125000</v>
          </cell>
          <cell r="R835">
            <v>1172125000</v>
          </cell>
          <cell r="S835">
            <v>1232398000</v>
          </cell>
          <cell r="U835">
            <v>1232398000</v>
          </cell>
          <cell r="V835">
            <v>154900000</v>
          </cell>
          <cell r="X835">
            <v>154900000</v>
          </cell>
          <cell r="Y835">
            <v>438476000</v>
          </cell>
          <cell r="AA835">
            <v>438476000</v>
          </cell>
          <cell r="AK835">
            <v>22806160</v>
          </cell>
          <cell r="AL835">
            <v>620040</v>
          </cell>
        </row>
        <row r="836">
          <cell r="B836">
            <v>44692</v>
          </cell>
          <cell r="C836">
            <v>131365878000</v>
          </cell>
          <cell r="G836">
            <v>131365878000</v>
          </cell>
          <cell r="H836">
            <v>35468787</v>
          </cell>
          <cell r="I836">
            <v>36786788000</v>
          </cell>
          <cell r="K836">
            <v>36786788000</v>
          </cell>
          <cell r="M836">
            <v>0</v>
          </cell>
          <cell r="N836">
            <v>28886000000</v>
          </cell>
          <cell r="O836">
            <v>28886000000</v>
          </cell>
          <cell r="P836">
            <v>418453000</v>
          </cell>
          <cell r="R836">
            <v>418453000</v>
          </cell>
          <cell r="S836">
            <v>1422190000</v>
          </cell>
          <cell r="U836">
            <v>1422190000</v>
          </cell>
          <cell r="V836">
            <v>712506000</v>
          </cell>
          <cell r="X836">
            <v>712506000</v>
          </cell>
          <cell r="Y836">
            <v>443993000</v>
          </cell>
          <cell r="AA836">
            <v>443993000</v>
          </cell>
          <cell r="AK836">
            <v>9496144</v>
          </cell>
          <cell r="AL836">
            <v>892950</v>
          </cell>
        </row>
        <row r="837">
          <cell r="B837">
            <v>44693</v>
          </cell>
          <cell r="C837">
            <v>78831565000</v>
          </cell>
          <cell r="D837">
            <v>30443200000</v>
          </cell>
          <cell r="G837">
            <v>109274765000</v>
          </cell>
          <cell r="H837">
            <v>29504187</v>
          </cell>
          <cell r="I837">
            <v>10265904931</v>
          </cell>
          <cell r="J837">
            <v>28450100000</v>
          </cell>
          <cell r="K837">
            <v>38716004931</v>
          </cell>
          <cell r="M837">
            <v>2644000</v>
          </cell>
          <cell r="N837">
            <v>13185000000</v>
          </cell>
          <cell r="O837">
            <v>13187644000</v>
          </cell>
          <cell r="P837">
            <v>807717000</v>
          </cell>
          <cell r="R837">
            <v>807717000</v>
          </cell>
          <cell r="S837">
            <v>2112083297.9999998</v>
          </cell>
          <cell r="U837">
            <v>2112083297.9999998</v>
          </cell>
          <cell r="V837">
            <v>500664000</v>
          </cell>
          <cell r="X837">
            <v>500664000</v>
          </cell>
          <cell r="Y837">
            <v>505962088</v>
          </cell>
          <cell r="AA837">
            <v>505962088</v>
          </cell>
          <cell r="AK837">
            <v>9027375</v>
          </cell>
          <cell r="AL837">
            <v>785700</v>
          </cell>
        </row>
        <row r="838">
          <cell r="C838">
            <v>471376804950</v>
          </cell>
          <cell r="D838">
            <v>30443200000</v>
          </cell>
          <cell r="E838">
            <v>0</v>
          </cell>
          <cell r="F838">
            <v>0</v>
          </cell>
          <cell r="G838">
            <v>501820004950</v>
          </cell>
          <cell r="H838">
            <v>135491401</v>
          </cell>
          <cell r="I838">
            <v>101185255931</v>
          </cell>
          <cell r="J838">
            <v>37403100000</v>
          </cell>
          <cell r="K838">
            <v>138588355931</v>
          </cell>
          <cell r="L838">
            <v>0</v>
          </cell>
          <cell r="M838">
            <v>19023481000</v>
          </cell>
          <cell r="N838">
            <v>139656100000</v>
          </cell>
          <cell r="O838">
            <v>158679581000</v>
          </cell>
          <cell r="P838">
            <v>4494928000</v>
          </cell>
          <cell r="Q838">
            <v>0</v>
          </cell>
          <cell r="R838">
            <v>4494928000</v>
          </cell>
          <cell r="S838">
            <v>8747768298</v>
          </cell>
          <cell r="T838">
            <v>0</v>
          </cell>
          <cell r="U838">
            <v>8747768298</v>
          </cell>
          <cell r="V838">
            <v>2188617000</v>
          </cell>
          <cell r="W838">
            <v>0</v>
          </cell>
          <cell r="X838">
            <v>2188617000</v>
          </cell>
          <cell r="Y838">
            <v>2552543088</v>
          </cell>
          <cell r="Z838">
            <v>0</v>
          </cell>
          <cell r="AA838">
            <v>2552543088</v>
          </cell>
          <cell r="AK838">
            <v>46795455</v>
          </cell>
          <cell r="AL838">
            <v>3009990</v>
          </cell>
        </row>
        <row r="839">
          <cell r="B839">
            <v>44694</v>
          </cell>
          <cell r="C839">
            <v>142418375000</v>
          </cell>
          <cell r="D839">
            <v>72260545000</v>
          </cell>
          <cell r="F839">
            <v>2592735000</v>
          </cell>
          <cell r="G839">
            <v>217271655000</v>
          </cell>
          <cell r="H839">
            <v>58663347</v>
          </cell>
          <cell r="I839">
            <v>12140610000</v>
          </cell>
          <cell r="J839">
            <v>6403500000</v>
          </cell>
          <cell r="K839">
            <v>18544110000</v>
          </cell>
          <cell r="M839">
            <v>1292730000</v>
          </cell>
          <cell r="N839">
            <v>88225000000</v>
          </cell>
          <cell r="O839">
            <v>89517730000</v>
          </cell>
          <cell r="P839">
            <v>472924000</v>
          </cell>
          <cell r="R839">
            <v>472924000</v>
          </cell>
          <cell r="S839">
            <v>1260316000</v>
          </cell>
          <cell r="U839">
            <v>1260316000</v>
          </cell>
          <cell r="V839">
            <v>132673000</v>
          </cell>
          <cell r="X839">
            <v>132673000</v>
          </cell>
          <cell r="Y839">
            <v>428180000</v>
          </cell>
          <cell r="AA839">
            <v>428180000</v>
          </cell>
          <cell r="AK839">
            <v>18731693</v>
          </cell>
          <cell r="AL839">
            <v>629790</v>
          </cell>
        </row>
        <row r="840">
          <cell r="B840">
            <v>44697</v>
          </cell>
          <cell r="C840">
            <v>178757862099</v>
          </cell>
          <cell r="D840">
            <v>10203630000</v>
          </cell>
          <cell r="F840">
            <v>5080000</v>
          </cell>
          <cell r="G840">
            <v>188966572099</v>
          </cell>
          <cell r="H840">
            <v>51020974</v>
          </cell>
          <cell r="I840">
            <v>16042699000</v>
          </cell>
          <cell r="K840">
            <v>16042699000</v>
          </cell>
          <cell r="M840">
            <v>2227529000</v>
          </cell>
          <cell r="O840">
            <v>2227529000</v>
          </cell>
          <cell r="P840">
            <v>293366000</v>
          </cell>
          <cell r="R840">
            <v>293366000</v>
          </cell>
          <cell r="S840">
            <v>1864792000</v>
          </cell>
          <cell r="U840">
            <v>1864792000</v>
          </cell>
          <cell r="V840">
            <v>247108000</v>
          </cell>
          <cell r="X840">
            <v>247108000</v>
          </cell>
          <cell r="Y840">
            <v>455656000</v>
          </cell>
          <cell r="AA840">
            <v>455656000</v>
          </cell>
          <cell r="AK840">
            <v>2282164</v>
          </cell>
          <cell r="AL840">
            <v>594840</v>
          </cell>
        </row>
        <row r="841">
          <cell r="B841">
            <v>44698</v>
          </cell>
          <cell r="C841">
            <v>94776063000</v>
          </cell>
          <cell r="D841">
            <v>68121990000</v>
          </cell>
          <cell r="F841">
            <v>4497995000</v>
          </cell>
          <cell r="G841">
            <v>167396048000</v>
          </cell>
          <cell r="H841">
            <v>45196933</v>
          </cell>
          <cell r="I841">
            <v>6704148000</v>
          </cell>
          <cell r="J841">
            <v>41335900000</v>
          </cell>
          <cell r="K841">
            <v>48040048000</v>
          </cell>
          <cell r="M841">
            <v>19663107000</v>
          </cell>
          <cell r="N841">
            <v>128531200000</v>
          </cell>
          <cell r="O841">
            <v>148194307000</v>
          </cell>
          <cell r="P841">
            <v>484117000</v>
          </cell>
          <cell r="R841">
            <v>484117000</v>
          </cell>
          <cell r="S841">
            <v>2268505000</v>
          </cell>
          <cell r="U841">
            <v>2268505000</v>
          </cell>
          <cell r="V841">
            <v>433280000</v>
          </cell>
          <cell r="X841">
            <v>433280000</v>
          </cell>
          <cell r="Y841">
            <v>424404000</v>
          </cell>
          <cell r="AA841">
            <v>424404000</v>
          </cell>
          <cell r="AK841">
            <v>33813655</v>
          </cell>
          <cell r="AL841">
            <v>454560</v>
          </cell>
        </row>
        <row r="842">
          <cell r="B842">
            <v>44699</v>
          </cell>
          <cell r="C842">
            <v>169669502000</v>
          </cell>
          <cell r="D842">
            <v>22088720000</v>
          </cell>
          <cell r="E842">
            <v>29700000</v>
          </cell>
          <cell r="F842">
            <v>2604070000</v>
          </cell>
          <cell r="G842">
            <v>194391992000</v>
          </cell>
          <cell r="H842">
            <v>52485838</v>
          </cell>
          <cell r="I842">
            <v>4622039000</v>
          </cell>
          <cell r="J842">
            <v>10496100000</v>
          </cell>
          <cell r="K842">
            <v>15118139000</v>
          </cell>
          <cell r="M842">
            <v>2613000</v>
          </cell>
          <cell r="N842">
            <v>60685100000</v>
          </cell>
          <cell r="O842">
            <v>60687713000</v>
          </cell>
          <cell r="P842">
            <v>622174000</v>
          </cell>
          <cell r="R842">
            <v>622174000</v>
          </cell>
          <cell r="S842">
            <v>1412025000</v>
          </cell>
          <cell r="U842">
            <v>1412025000</v>
          </cell>
          <cell r="V842">
            <v>731562000</v>
          </cell>
          <cell r="X842">
            <v>731562000</v>
          </cell>
          <cell r="Y842">
            <v>426007000</v>
          </cell>
          <cell r="AA842">
            <v>426007000</v>
          </cell>
          <cell r="AK842">
            <v>13656789</v>
          </cell>
          <cell r="AL842">
            <v>570390</v>
          </cell>
        </row>
        <row r="843">
          <cell r="B843">
            <v>44700</v>
          </cell>
          <cell r="C843">
            <v>209534095000</v>
          </cell>
          <cell r="D843">
            <v>101289995000</v>
          </cell>
          <cell r="F843">
            <v>4686515000</v>
          </cell>
          <cell r="G843">
            <v>315510605000</v>
          </cell>
          <cell r="H843">
            <v>85187863</v>
          </cell>
          <cell r="I843">
            <v>0</v>
          </cell>
          <cell r="M843">
            <v>0</v>
          </cell>
          <cell r="N843">
            <v>22687000000</v>
          </cell>
          <cell r="O843">
            <v>22687000000</v>
          </cell>
          <cell r="P843">
            <v>241351000</v>
          </cell>
          <cell r="R843">
            <v>241351000</v>
          </cell>
          <cell r="S843">
            <v>1094738000</v>
          </cell>
          <cell r="U843">
            <v>1094738000</v>
          </cell>
          <cell r="V843">
            <v>18836000</v>
          </cell>
          <cell r="X843">
            <v>18836000</v>
          </cell>
          <cell r="Y843">
            <v>414000000</v>
          </cell>
          <cell r="AA843">
            <v>414000000</v>
          </cell>
          <cell r="AK843">
            <v>4274704</v>
          </cell>
          <cell r="AL843">
            <v>1246410</v>
          </cell>
        </row>
        <row r="844">
          <cell r="C844">
            <v>795155897099</v>
          </cell>
          <cell r="D844">
            <v>273964880000</v>
          </cell>
          <cell r="E844">
            <v>29700000</v>
          </cell>
          <cell r="F844">
            <v>14386395000</v>
          </cell>
          <cell r="G844">
            <v>1083536872099</v>
          </cell>
          <cell r="H844">
            <v>292554955</v>
          </cell>
          <cell r="I844">
            <v>39509496000</v>
          </cell>
          <cell r="J844">
            <v>58235500000</v>
          </cell>
          <cell r="K844">
            <v>97744996000</v>
          </cell>
          <cell r="L844">
            <v>0</v>
          </cell>
          <cell r="M844">
            <v>23185979000</v>
          </cell>
          <cell r="N844">
            <v>300128300000</v>
          </cell>
          <cell r="O844">
            <v>323314279000</v>
          </cell>
          <cell r="P844">
            <v>2113932000</v>
          </cell>
          <cell r="Q844">
            <v>0</v>
          </cell>
          <cell r="R844">
            <v>2113932000</v>
          </cell>
          <cell r="S844">
            <v>7900376000</v>
          </cell>
          <cell r="T844">
            <v>0</v>
          </cell>
          <cell r="U844">
            <v>7900376000</v>
          </cell>
          <cell r="V844">
            <v>1563459000</v>
          </cell>
          <cell r="W844">
            <v>0</v>
          </cell>
          <cell r="X844">
            <v>1563459000</v>
          </cell>
          <cell r="Y844">
            <v>2148247000</v>
          </cell>
          <cell r="Z844">
            <v>0</v>
          </cell>
          <cell r="AA844">
            <v>2148247000</v>
          </cell>
          <cell r="AK844">
            <v>72759005</v>
          </cell>
          <cell r="AL844">
            <v>3495990</v>
          </cell>
        </row>
        <row r="845">
          <cell r="B845">
            <v>44701</v>
          </cell>
          <cell r="C845">
            <v>143995855000</v>
          </cell>
          <cell r="D845">
            <v>60176325000</v>
          </cell>
          <cell r="G845">
            <v>204172180000</v>
          </cell>
          <cell r="H845">
            <v>55126489</v>
          </cell>
          <cell r="I845">
            <v>13557119000</v>
          </cell>
          <cell r="J845">
            <v>40796000000</v>
          </cell>
          <cell r="K845">
            <v>54353119000</v>
          </cell>
          <cell r="M845">
            <v>19894033000</v>
          </cell>
          <cell r="N845">
            <v>28720000000</v>
          </cell>
          <cell r="O845">
            <v>48614033000</v>
          </cell>
          <cell r="P845">
            <v>1448408000</v>
          </cell>
          <cell r="R845">
            <v>1448408000</v>
          </cell>
          <cell r="S845">
            <v>1618919000</v>
          </cell>
          <cell r="U845">
            <v>1618919000</v>
          </cell>
          <cell r="V845">
            <v>63240000</v>
          </cell>
          <cell r="X845">
            <v>63240000</v>
          </cell>
          <cell r="Y845">
            <v>469260000</v>
          </cell>
          <cell r="AA845">
            <v>469260000</v>
          </cell>
          <cell r="AK845">
            <v>16514386</v>
          </cell>
          <cell r="AL845">
            <v>854910</v>
          </cell>
        </row>
        <row r="846">
          <cell r="B846">
            <v>44704</v>
          </cell>
          <cell r="C846">
            <v>169870020000</v>
          </cell>
          <cell r="D846">
            <v>21138935000</v>
          </cell>
          <cell r="G846">
            <v>191008955000</v>
          </cell>
          <cell r="H846">
            <v>51572418</v>
          </cell>
          <cell r="I846">
            <v>3769760000</v>
          </cell>
          <cell r="J846">
            <v>23504600000</v>
          </cell>
          <cell r="K846">
            <v>27274360000</v>
          </cell>
          <cell r="M846">
            <v>6722181000</v>
          </cell>
          <cell r="N846">
            <v>22037250000</v>
          </cell>
          <cell r="O846">
            <v>28759431000</v>
          </cell>
          <cell r="P846">
            <v>7237030000</v>
          </cell>
          <cell r="R846">
            <v>7237030000</v>
          </cell>
          <cell r="S846">
            <v>2122340000</v>
          </cell>
          <cell r="U846">
            <v>2122340000</v>
          </cell>
          <cell r="V846">
            <v>81013000</v>
          </cell>
          <cell r="X846">
            <v>81013000</v>
          </cell>
          <cell r="Y846">
            <v>479186000</v>
          </cell>
          <cell r="AA846">
            <v>479186000</v>
          </cell>
          <cell r="AK846">
            <v>10401976</v>
          </cell>
          <cell r="AL846">
            <v>1330980</v>
          </cell>
        </row>
        <row r="847">
          <cell r="B847">
            <v>44705</v>
          </cell>
          <cell r="C847">
            <v>151282260000</v>
          </cell>
          <cell r="D847">
            <v>41762760000</v>
          </cell>
          <cell r="F847">
            <v>2543325000</v>
          </cell>
          <cell r="G847">
            <v>195588345000</v>
          </cell>
          <cell r="H847">
            <v>52808853</v>
          </cell>
          <cell r="I847">
            <v>0</v>
          </cell>
          <cell r="J847">
            <v>35885100000</v>
          </cell>
          <cell r="K847">
            <v>35885100000</v>
          </cell>
          <cell r="M847">
            <v>19287198000</v>
          </cell>
          <cell r="N847">
            <v>33198500000</v>
          </cell>
          <cell r="O847">
            <v>52485698000</v>
          </cell>
          <cell r="P847">
            <v>1475837000</v>
          </cell>
          <cell r="R847">
            <v>1475837000</v>
          </cell>
          <cell r="S847">
            <v>1067172000</v>
          </cell>
          <cell r="U847">
            <v>1067172000</v>
          </cell>
          <cell r="V847">
            <v>114371000</v>
          </cell>
          <cell r="X847">
            <v>114371000</v>
          </cell>
          <cell r="Y847">
            <v>425555000</v>
          </cell>
          <cell r="AA847">
            <v>425555000</v>
          </cell>
          <cell r="AK847">
            <v>14851022</v>
          </cell>
          <cell r="AL847">
            <v>630840</v>
          </cell>
        </row>
        <row r="848">
          <cell r="B848">
            <v>44706</v>
          </cell>
          <cell r="C848">
            <v>59336255000</v>
          </cell>
          <cell r="D848">
            <v>26475000000</v>
          </cell>
          <cell r="E848">
            <v>4790335000</v>
          </cell>
          <cell r="G848">
            <v>90601590000</v>
          </cell>
          <cell r="H848">
            <v>24462429</v>
          </cell>
          <cell r="I848">
            <v>99038000</v>
          </cell>
          <cell r="J848">
            <v>6533600000</v>
          </cell>
          <cell r="K848">
            <v>6632638000</v>
          </cell>
          <cell r="M848">
            <v>16616925000</v>
          </cell>
          <cell r="N848">
            <v>12091750000</v>
          </cell>
          <cell r="O848">
            <v>28708675000</v>
          </cell>
          <cell r="P848">
            <v>120115000</v>
          </cell>
          <cell r="R848">
            <v>120115000</v>
          </cell>
          <cell r="S848">
            <v>726890000</v>
          </cell>
          <cell r="U848">
            <v>726890000</v>
          </cell>
          <cell r="V848">
            <v>23964000</v>
          </cell>
          <cell r="X848">
            <v>23964000</v>
          </cell>
          <cell r="Y848">
            <v>432429000</v>
          </cell>
          <cell r="AA848">
            <v>432429000</v>
          </cell>
          <cell r="AK848">
            <v>5298654</v>
          </cell>
          <cell r="AL848">
            <v>420630</v>
          </cell>
        </row>
        <row r="849">
          <cell r="B849">
            <v>44707</v>
          </cell>
          <cell r="C849">
            <v>108013930000</v>
          </cell>
          <cell r="D849">
            <v>2718090000</v>
          </cell>
          <cell r="E849">
            <v>4884720000</v>
          </cell>
          <cell r="G849">
            <v>115616740000</v>
          </cell>
          <cell r="H849">
            <v>31216520</v>
          </cell>
          <cell r="I849">
            <v>11796379000</v>
          </cell>
          <cell r="J849">
            <v>74783800000</v>
          </cell>
          <cell r="K849">
            <v>86580179000</v>
          </cell>
          <cell r="M849">
            <v>29587943000</v>
          </cell>
          <cell r="O849">
            <v>29587943000</v>
          </cell>
          <cell r="P849">
            <v>41924000</v>
          </cell>
          <cell r="R849">
            <v>41924000</v>
          </cell>
          <cell r="S849">
            <v>915801000</v>
          </cell>
          <cell r="U849">
            <v>915801000</v>
          </cell>
          <cell r="V849">
            <v>163394000</v>
          </cell>
          <cell r="X849">
            <v>163394000</v>
          </cell>
          <cell r="Y849">
            <v>441085000</v>
          </cell>
          <cell r="AA849">
            <v>441085000</v>
          </cell>
          <cell r="AK849">
            <v>18099309</v>
          </cell>
          <cell r="AL849">
            <v>1071780</v>
          </cell>
        </row>
        <row r="850">
          <cell r="C850">
            <v>632498320000</v>
          </cell>
          <cell r="D850">
            <v>152271110000</v>
          </cell>
          <cell r="E850">
            <v>9675055000</v>
          </cell>
          <cell r="F850">
            <v>2543325000</v>
          </cell>
          <cell r="G850">
            <v>796987810000</v>
          </cell>
          <cell r="H850">
            <v>215186709</v>
          </cell>
          <cell r="I850">
            <v>29222296000</v>
          </cell>
          <cell r="J850">
            <v>181503100000</v>
          </cell>
          <cell r="K850">
            <v>210725396000</v>
          </cell>
          <cell r="L850">
            <v>0</v>
          </cell>
          <cell r="M850">
            <v>92108280000</v>
          </cell>
          <cell r="N850">
            <v>96047500000</v>
          </cell>
          <cell r="O850">
            <v>188155780000</v>
          </cell>
          <cell r="P850">
            <v>10323314000</v>
          </cell>
          <cell r="Q850">
            <v>0</v>
          </cell>
          <cell r="R850">
            <v>10323314000</v>
          </cell>
          <cell r="S850">
            <v>6451122000</v>
          </cell>
          <cell r="T850">
            <v>0</v>
          </cell>
          <cell r="U850">
            <v>6451122000</v>
          </cell>
          <cell r="V850">
            <v>445982000</v>
          </cell>
          <cell r="W850">
            <v>0</v>
          </cell>
          <cell r="X850">
            <v>445982000</v>
          </cell>
          <cell r="Y850">
            <v>2247515000</v>
          </cell>
          <cell r="Z850">
            <v>0</v>
          </cell>
          <cell r="AA850">
            <v>2247515000</v>
          </cell>
          <cell r="AK850">
            <v>65165347</v>
          </cell>
          <cell r="AL850">
            <v>4309140</v>
          </cell>
        </row>
        <row r="851">
          <cell r="B851">
            <v>44708</v>
          </cell>
          <cell r="C851">
            <v>72803800000</v>
          </cell>
          <cell r="D851">
            <v>37911185000</v>
          </cell>
          <cell r="G851">
            <v>110714985000</v>
          </cell>
          <cell r="H851">
            <v>29893046</v>
          </cell>
          <cell r="I851">
            <v>6762651000</v>
          </cell>
          <cell r="J851">
            <v>59995800000</v>
          </cell>
          <cell r="K851">
            <v>66758451000</v>
          </cell>
          <cell r="M851">
            <v>5587862000</v>
          </cell>
          <cell r="N851">
            <v>30195400000</v>
          </cell>
          <cell r="O851">
            <v>35783262000</v>
          </cell>
          <cell r="P851">
            <v>587029000</v>
          </cell>
          <cell r="R851">
            <v>587029000</v>
          </cell>
          <cell r="S851">
            <v>911155000</v>
          </cell>
          <cell r="U851">
            <v>911155000</v>
          </cell>
          <cell r="V851">
            <v>318366000</v>
          </cell>
          <cell r="X851">
            <v>318366000</v>
          </cell>
          <cell r="Y851">
            <v>538968000</v>
          </cell>
          <cell r="AA851">
            <v>538968000</v>
          </cell>
          <cell r="AK851">
            <v>17822667</v>
          </cell>
          <cell r="AL851">
            <v>42300</v>
          </cell>
        </row>
        <row r="852">
          <cell r="B852">
            <v>44711</v>
          </cell>
          <cell r="C852">
            <v>34333010000</v>
          </cell>
          <cell r="G852">
            <v>34333010000</v>
          </cell>
          <cell r="H852">
            <v>9784845</v>
          </cell>
          <cell r="I852">
            <v>1272773000</v>
          </cell>
          <cell r="J852">
            <v>83064900000</v>
          </cell>
          <cell r="K852">
            <v>84337673000</v>
          </cell>
          <cell r="M852">
            <v>91301000</v>
          </cell>
          <cell r="N852">
            <v>76562500000</v>
          </cell>
          <cell r="O852">
            <v>76653801000</v>
          </cell>
          <cell r="P852">
            <v>499209000</v>
          </cell>
          <cell r="R852">
            <v>499209000</v>
          </cell>
          <cell r="S852">
            <v>857441000</v>
          </cell>
          <cell r="U852">
            <v>857441000</v>
          </cell>
          <cell r="V852">
            <v>146187000</v>
          </cell>
          <cell r="X852">
            <v>146187000</v>
          </cell>
          <cell r="Y852">
            <v>453587000</v>
          </cell>
          <cell r="AA852">
            <v>453587000</v>
          </cell>
          <cell r="AK852">
            <v>29091546</v>
          </cell>
          <cell r="AL852">
            <v>153000</v>
          </cell>
        </row>
        <row r="853">
          <cell r="B853">
            <v>44712</v>
          </cell>
          <cell r="C853">
            <v>95260775000</v>
          </cell>
          <cell r="D853">
            <v>7449210000</v>
          </cell>
          <cell r="G853">
            <v>102709985000</v>
          </cell>
          <cell r="H853">
            <v>27731696</v>
          </cell>
          <cell r="I853">
            <v>35909466000</v>
          </cell>
          <cell r="J853">
            <v>96081000000</v>
          </cell>
          <cell r="K853">
            <v>131990466000</v>
          </cell>
          <cell r="M853">
            <v>857652000</v>
          </cell>
          <cell r="N853">
            <v>36954000000</v>
          </cell>
          <cell r="O853">
            <v>37811652000</v>
          </cell>
          <cell r="P853">
            <v>1178355000</v>
          </cell>
          <cell r="R853">
            <v>1178355000</v>
          </cell>
          <cell r="S853">
            <v>1094606000</v>
          </cell>
          <cell r="U853">
            <v>1094606000</v>
          </cell>
          <cell r="V853">
            <v>346750000</v>
          </cell>
          <cell r="X853">
            <v>346750000</v>
          </cell>
          <cell r="Y853">
            <v>464470000</v>
          </cell>
          <cell r="AA853">
            <v>464470000</v>
          </cell>
          <cell r="AK853">
            <v>28250240</v>
          </cell>
          <cell r="AL853">
            <v>507600</v>
          </cell>
        </row>
        <row r="854">
          <cell r="B854">
            <v>44713</v>
          </cell>
          <cell r="C854">
            <v>155295405000</v>
          </cell>
          <cell r="D854">
            <v>56674245000</v>
          </cell>
          <cell r="E854">
            <v>16394505000</v>
          </cell>
          <cell r="G854">
            <v>228364155000</v>
          </cell>
          <cell r="H854">
            <v>61658322</v>
          </cell>
          <cell r="I854">
            <v>4464933000</v>
          </cell>
          <cell r="K854">
            <v>4464933000</v>
          </cell>
          <cell r="M854">
            <v>0</v>
          </cell>
          <cell r="N854">
            <v>4222500000</v>
          </cell>
          <cell r="O854">
            <v>4222500000</v>
          </cell>
          <cell r="P854">
            <v>464281000</v>
          </cell>
          <cell r="R854">
            <v>464281000</v>
          </cell>
          <cell r="S854">
            <v>770901000</v>
          </cell>
          <cell r="U854">
            <v>770901000</v>
          </cell>
          <cell r="V854">
            <v>290309000</v>
          </cell>
          <cell r="X854">
            <v>290309000</v>
          </cell>
          <cell r="Y854">
            <v>482840000</v>
          </cell>
          <cell r="AA854">
            <v>482840000</v>
          </cell>
          <cell r="AK854">
            <v>1459163</v>
          </cell>
          <cell r="AL854">
            <v>593600</v>
          </cell>
        </row>
        <row r="855">
          <cell r="B855">
            <v>44714</v>
          </cell>
          <cell r="C855">
            <v>47793060000</v>
          </cell>
          <cell r="D855">
            <v>9469215000</v>
          </cell>
          <cell r="G855">
            <v>57262275000</v>
          </cell>
          <cell r="H855">
            <v>15460814</v>
          </cell>
          <cell r="I855">
            <v>20137843000</v>
          </cell>
          <cell r="J855">
            <v>22469800000</v>
          </cell>
          <cell r="K855">
            <v>42607643000</v>
          </cell>
          <cell r="M855">
            <v>20750431000</v>
          </cell>
          <cell r="N855">
            <v>5774000000</v>
          </cell>
          <cell r="O855">
            <v>26524431000</v>
          </cell>
          <cell r="P855">
            <v>160671000</v>
          </cell>
          <cell r="R855">
            <v>160671000</v>
          </cell>
          <cell r="S855">
            <v>1198337000</v>
          </cell>
          <cell r="U855">
            <v>1198337000</v>
          </cell>
          <cell r="V855">
            <v>114114000</v>
          </cell>
          <cell r="X855">
            <v>114114000</v>
          </cell>
          <cell r="Y855">
            <v>453620000</v>
          </cell>
          <cell r="AA855">
            <v>453620000</v>
          </cell>
          <cell r="AK855">
            <v>9707906</v>
          </cell>
          <cell r="AL855">
            <v>208080</v>
          </cell>
        </row>
        <row r="856">
          <cell r="C856">
            <v>405486050000</v>
          </cell>
          <cell r="D856">
            <v>111503855000</v>
          </cell>
          <cell r="E856">
            <v>16394505000</v>
          </cell>
          <cell r="F856">
            <v>0</v>
          </cell>
          <cell r="G856">
            <v>533384410000</v>
          </cell>
          <cell r="H856">
            <v>144528723</v>
          </cell>
          <cell r="I856">
            <v>68547666000</v>
          </cell>
          <cell r="J856">
            <v>261611500000</v>
          </cell>
          <cell r="K856">
            <v>330159166000</v>
          </cell>
          <cell r="L856">
            <v>0</v>
          </cell>
          <cell r="M856">
            <v>27287246000</v>
          </cell>
          <cell r="N856">
            <v>153708400000</v>
          </cell>
          <cell r="O856">
            <v>180995646000</v>
          </cell>
          <cell r="P856">
            <v>2889545000</v>
          </cell>
          <cell r="Q856">
            <v>0</v>
          </cell>
          <cell r="R856">
            <v>2889545000</v>
          </cell>
          <cell r="S856">
            <v>4832440000</v>
          </cell>
          <cell r="T856">
            <v>0</v>
          </cell>
          <cell r="U856">
            <v>4832440000</v>
          </cell>
          <cell r="V856">
            <v>1215726000</v>
          </cell>
          <cell r="W856">
            <v>0</v>
          </cell>
          <cell r="X856">
            <v>1215726000</v>
          </cell>
          <cell r="Y856">
            <v>2393485000</v>
          </cell>
          <cell r="Z856">
            <v>0</v>
          </cell>
          <cell r="AA856">
            <v>2393485000</v>
          </cell>
          <cell r="AK856">
            <v>86331522</v>
          </cell>
          <cell r="AL856">
            <v>1504580</v>
          </cell>
        </row>
        <row r="857">
          <cell r="B857">
            <v>44715</v>
          </cell>
          <cell r="C857">
            <v>64094530000</v>
          </cell>
          <cell r="D857">
            <v>28511025000</v>
          </cell>
          <cell r="G857">
            <v>92605555000</v>
          </cell>
          <cell r="H857">
            <v>25003500</v>
          </cell>
          <cell r="I857">
            <v>6845100000</v>
          </cell>
          <cell r="J857">
            <v>6645000000</v>
          </cell>
          <cell r="K857">
            <v>13490100000</v>
          </cell>
          <cell r="M857">
            <v>9180547000</v>
          </cell>
          <cell r="O857">
            <v>9180547000</v>
          </cell>
          <cell r="P857">
            <v>2120500000</v>
          </cell>
          <cell r="R857">
            <v>2120500000</v>
          </cell>
          <cell r="S857">
            <v>856875000</v>
          </cell>
          <cell r="U857">
            <v>856875000</v>
          </cell>
          <cell r="V857">
            <v>69169000</v>
          </cell>
          <cell r="X857">
            <v>69169000</v>
          </cell>
          <cell r="Y857">
            <v>498240000</v>
          </cell>
          <cell r="AA857">
            <v>498240000</v>
          </cell>
          <cell r="AK857">
            <v>3309707</v>
          </cell>
          <cell r="AL857">
            <v>796520</v>
          </cell>
        </row>
        <row r="858">
          <cell r="B858">
            <v>44718</v>
          </cell>
          <cell r="C858">
            <v>25880130000</v>
          </cell>
          <cell r="G858">
            <v>25880130000</v>
          </cell>
          <cell r="H858">
            <v>6987635</v>
          </cell>
          <cell r="I858">
            <v>770814000</v>
          </cell>
          <cell r="K858">
            <v>770814000</v>
          </cell>
          <cell r="M858">
            <v>15550356000</v>
          </cell>
          <cell r="N858">
            <v>17434000000</v>
          </cell>
          <cell r="O858">
            <v>32984356000</v>
          </cell>
          <cell r="P858">
            <v>389911000</v>
          </cell>
          <cell r="R858">
            <v>389911000</v>
          </cell>
          <cell r="S858">
            <v>568625000</v>
          </cell>
          <cell r="U858">
            <v>568625000</v>
          </cell>
          <cell r="V858">
            <v>111876000</v>
          </cell>
          <cell r="X858">
            <v>111876000</v>
          </cell>
          <cell r="Y858">
            <v>509567000</v>
          </cell>
          <cell r="AA858">
            <v>509567000</v>
          </cell>
          <cell r="AK858">
            <v>5071444</v>
          </cell>
          <cell r="AL858">
            <v>342060</v>
          </cell>
        </row>
        <row r="859">
          <cell r="B859">
            <v>44719</v>
          </cell>
          <cell r="C859">
            <v>37976660000</v>
          </cell>
          <cell r="G859">
            <v>37976660000</v>
          </cell>
          <cell r="H859">
            <v>10253698</v>
          </cell>
          <cell r="I859">
            <v>5301156000</v>
          </cell>
          <cell r="J859">
            <v>6564300000</v>
          </cell>
          <cell r="K859">
            <v>11865456000</v>
          </cell>
          <cell r="M859">
            <v>484758000</v>
          </cell>
          <cell r="N859">
            <v>8605000000</v>
          </cell>
          <cell r="O859">
            <v>9089758000</v>
          </cell>
          <cell r="P859">
            <v>925294000</v>
          </cell>
          <cell r="R859">
            <v>925294000</v>
          </cell>
          <cell r="S859">
            <v>628495000</v>
          </cell>
          <cell r="U859">
            <v>628495000</v>
          </cell>
          <cell r="V859">
            <v>333220000</v>
          </cell>
          <cell r="X859">
            <v>333220000</v>
          </cell>
          <cell r="Y859">
            <v>387673000</v>
          </cell>
          <cell r="AA859">
            <v>387673000</v>
          </cell>
          <cell r="AK859">
            <v>3601018</v>
          </cell>
          <cell r="AL859">
            <v>878990</v>
          </cell>
        </row>
        <row r="860">
          <cell r="B860">
            <v>44720</v>
          </cell>
          <cell r="C860">
            <v>95226125000</v>
          </cell>
          <cell r="G860">
            <v>95226125000</v>
          </cell>
          <cell r="H860">
            <v>25711054</v>
          </cell>
          <cell r="I860">
            <v>11772012000</v>
          </cell>
          <cell r="J860">
            <v>6768300000</v>
          </cell>
          <cell r="K860">
            <v>18540312000</v>
          </cell>
          <cell r="M860">
            <v>4280167000</v>
          </cell>
          <cell r="N860">
            <v>2937000000</v>
          </cell>
          <cell r="O860">
            <v>7217167000</v>
          </cell>
          <cell r="P860">
            <v>469589000</v>
          </cell>
          <cell r="R860">
            <v>469589000</v>
          </cell>
          <cell r="S860">
            <v>1085925000</v>
          </cell>
          <cell r="U860">
            <v>1085925000</v>
          </cell>
          <cell r="V860">
            <v>77620000</v>
          </cell>
          <cell r="X860">
            <v>77620000</v>
          </cell>
          <cell r="Y860">
            <v>482468000</v>
          </cell>
          <cell r="AA860">
            <v>482468000</v>
          </cell>
          <cell r="AK860">
            <v>3709074</v>
          </cell>
          <cell r="AL860">
            <v>755790</v>
          </cell>
        </row>
        <row r="861">
          <cell r="B861">
            <v>44721</v>
          </cell>
          <cell r="C861">
            <v>45909405000</v>
          </cell>
          <cell r="G861">
            <v>45909405000</v>
          </cell>
          <cell r="H861">
            <v>12395539</v>
          </cell>
          <cell r="I861">
            <v>14334520000</v>
          </cell>
          <cell r="K861">
            <v>14334520000</v>
          </cell>
          <cell r="M861">
            <v>7150620000</v>
          </cell>
          <cell r="N861">
            <v>38034500000</v>
          </cell>
          <cell r="O861">
            <v>45185120000</v>
          </cell>
          <cell r="P861">
            <v>484647000</v>
          </cell>
          <cell r="R861">
            <v>484647000</v>
          </cell>
          <cell r="S861">
            <v>1520400000</v>
          </cell>
          <cell r="U861">
            <v>1520400000</v>
          </cell>
          <cell r="V861">
            <v>33029000</v>
          </cell>
          <cell r="X861">
            <v>33029000</v>
          </cell>
          <cell r="Y861">
            <v>462349000</v>
          </cell>
          <cell r="AA861">
            <v>462349000</v>
          </cell>
          <cell r="AK861">
            <v>9436651</v>
          </cell>
          <cell r="AL861">
            <v>548160</v>
          </cell>
        </row>
        <row r="862">
          <cell r="C862">
            <v>269086850000</v>
          </cell>
          <cell r="D862">
            <v>28511025000</v>
          </cell>
          <cell r="E862">
            <v>0</v>
          </cell>
          <cell r="F862">
            <v>0</v>
          </cell>
          <cell r="G862">
            <v>297597875000</v>
          </cell>
          <cell r="H862">
            <v>80351426</v>
          </cell>
          <cell r="I862">
            <v>39023602000</v>
          </cell>
          <cell r="J862">
            <v>19977600000</v>
          </cell>
          <cell r="K862">
            <v>59001202000</v>
          </cell>
          <cell r="L862">
            <v>0</v>
          </cell>
          <cell r="M862">
            <v>36646448000</v>
          </cell>
          <cell r="N862">
            <v>67010500000</v>
          </cell>
          <cell r="O862">
            <v>103656948000</v>
          </cell>
          <cell r="P862">
            <v>4389941000</v>
          </cell>
          <cell r="Q862">
            <v>0</v>
          </cell>
          <cell r="R862">
            <v>4389941000</v>
          </cell>
          <cell r="S862">
            <v>4660320000</v>
          </cell>
          <cell r="T862">
            <v>0</v>
          </cell>
          <cell r="U862">
            <v>4660320000</v>
          </cell>
          <cell r="V862">
            <v>624914000</v>
          </cell>
          <cell r="W862">
            <v>0</v>
          </cell>
          <cell r="X862">
            <v>624914000</v>
          </cell>
          <cell r="Y862">
            <v>2340297000</v>
          </cell>
          <cell r="Z862">
            <v>0</v>
          </cell>
          <cell r="AA862">
            <v>2340297000</v>
          </cell>
          <cell r="AK862">
            <v>25127894</v>
          </cell>
          <cell r="AL862">
            <v>3321520</v>
          </cell>
        </row>
        <row r="863">
          <cell r="B863">
            <v>44722</v>
          </cell>
          <cell r="C863">
            <v>17079860000</v>
          </cell>
          <cell r="G863">
            <v>17079860000</v>
          </cell>
          <cell r="H863">
            <v>4611562</v>
          </cell>
          <cell r="I863">
            <v>18027493000</v>
          </cell>
          <cell r="K863">
            <v>18027493000</v>
          </cell>
          <cell r="M863">
            <v>6952231000</v>
          </cell>
          <cell r="N863">
            <v>4259700000</v>
          </cell>
          <cell r="O863">
            <v>11211931000</v>
          </cell>
          <cell r="P863">
            <v>145124000</v>
          </cell>
          <cell r="R863">
            <v>145124000</v>
          </cell>
          <cell r="S863">
            <v>620258000</v>
          </cell>
          <cell r="U863">
            <v>620258000</v>
          </cell>
          <cell r="V863">
            <v>64064000</v>
          </cell>
          <cell r="X863">
            <v>64064000</v>
          </cell>
          <cell r="Y863">
            <v>459001000</v>
          </cell>
          <cell r="AA863">
            <v>459001000</v>
          </cell>
          <cell r="AK863">
            <v>3603708</v>
          </cell>
          <cell r="AL863">
            <v>443940</v>
          </cell>
        </row>
        <row r="864">
          <cell r="B864">
            <v>44725</v>
          </cell>
          <cell r="C864">
            <v>35736920000</v>
          </cell>
          <cell r="G864">
            <v>35736920000</v>
          </cell>
          <cell r="H864">
            <v>9648968</v>
          </cell>
          <cell r="I864">
            <v>21618540000</v>
          </cell>
          <cell r="K864">
            <v>21618540000</v>
          </cell>
          <cell r="M864">
            <v>2737196000</v>
          </cell>
          <cell r="N864">
            <v>57866500000</v>
          </cell>
          <cell r="O864">
            <v>60603696000</v>
          </cell>
          <cell r="P864">
            <v>307227000</v>
          </cell>
          <cell r="R864">
            <v>307227000</v>
          </cell>
          <cell r="S864">
            <v>2356413000</v>
          </cell>
          <cell r="U864">
            <v>2356413000</v>
          </cell>
          <cell r="V864">
            <v>177912000</v>
          </cell>
          <cell r="X864">
            <v>177912000</v>
          </cell>
          <cell r="Y864">
            <v>460176000</v>
          </cell>
          <cell r="AA864">
            <v>460176000</v>
          </cell>
          <cell r="AK864">
            <v>13402976</v>
          </cell>
          <cell r="AL864">
            <v>653370</v>
          </cell>
        </row>
        <row r="865">
          <cell r="B865">
            <v>44726</v>
          </cell>
          <cell r="C865">
            <v>98749285000</v>
          </cell>
          <cell r="D865">
            <v>21872790000</v>
          </cell>
          <cell r="G865">
            <v>120622075000</v>
          </cell>
          <cell r="H865">
            <v>32567960</v>
          </cell>
          <cell r="I865">
            <v>5481278000</v>
          </cell>
          <cell r="J865">
            <v>2114600000</v>
          </cell>
          <cell r="K865">
            <v>7595878000</v>
          </cell>
          <cell r="M865">
            <v>34518000</v>
          </cell>
          <cell r="N865">
            <v>12559926200</v>
          </cell>
          <cell r="O865">
            <v>12594444200</v>
          </cell>
          <cell r="P865">
            <v>1008362000</v>
          </cell>
          <cell r="R865">
            <v>1008362000</v>
          </cell>
          <cell r="S865">
            <v>1360047000</v>
          </cell>
          <cell r="U865">
            <v>1360047000</v>
          </cell>
          <cell r="V865">
            <v>16977000</v>
          </cell>
          <cell r="X865">
            <v>16977000</v>
          </cell>
          <cell r="Y865">
            <v>435374000</v>
          </cell>
          <cell r="AA865">
            <v>435374000</v>
          </cell>
          <cell r="AK865">
            <v>3541763</v>
          </cell>
          <cell r="AL865">
            <v>767180</v>
          </cell>
        </row>
        <row r="866">
          <cell r="B866">
            <v>44727</v>
          </cell>
          <cell r="C866">
            <v>89505485000</v>
          </cell>
          <cell r="D866">
            <v>32645390000</v>
          </cell>
          <cell r="G866">
            <v>122150875000</v>
          </cell>
          <cell r="H866">
            <v>32980736</v>
          </cell>
          <cell r="I866">
            <v>15153194000</v>
          </cell>
          <cell r="J866">
            <v>100013400000</v>
          </cell>
          <cell r="K866">
            <v>115166594000</v>
          </cell>
          <cell r="M866">
            <v>4645654000</v>
          </cell>
          <cell r="N866">
            <v>13362500000</v>
          </cell>
          <cell r="O866">
            <v>18008154000</v>
          </cell>
          <cell r="P866">
            <v>2167698000</v>
          </cell>
          <cell r="R866">
            <v>2167698000</v>
          </cell>
          <cell r="S866">
            <v>1134301000</v>
          </cell>
          <cell r="U866">
            <v>1134301000</v>
          </cell>
          <cell r="V866">
            <v>688363000</v>
          </cell>
          <cell r="X866">
            <v>688363000</v>
          </cell>
          <cell r="Y866">
            <v>433401000</v>
          </cell>
          <cell r="AA866">
            <v>433401000</v>
          </cell>
          <cell r="AK866">
            <v>23023704</v>
          </cell>
          <cell r="AL866">
            <v>646230</v>
          </cell>
        </row>
        <row r="867">
          <cell r="B867">
            <v>44728</v>
          </cell>
          <cell r="C867">
            <v>45406560000</v>
          </cell>
          <cell r="G867">
            <v>45406560000</v>
          </cell>
          <cell r="H867">
            <v>12259771</v>
          </cell>
          <cell r="I867">
            <v>18193888000</v>
          </cell>
          <cell r="J867">
            <v>17159000000</v>
          </cell>
          <cell r="K867">
            <v>35352888000</v>
          </cell>
          <cell r="M867">
            <v>49150364000</v>
          </cell>
          <cell r="N867">
            <v>22462200000</v>
          </cell>
          <cell r="O867">
            <v>71612564000</v>
          </cell>
          <cell r="P867">
            <v>1020246000</v>
          </cell>
          <cell r="R867">
            <v>1020246000</v>
          </cell>
          <cell r="S867">
            <v>2367135000</v>
          </cell>
          <cell r="U867">
            <v>2367135000</v>
          </cell>
          <cell r="V867">
            <v>31570000</v>
          </cell>
          <cell r="X867">
            <v>31570000</v>
          </cell>
          <cell r="Y867">
            <v>439406000</v>
          </cell>
          <cell r="AA867">
            <v>439406000</v>
          </cell>
          <cell r="AK867">
            <v>14821698</v>
          </cell>
          <cell r="AL867">
            <v>672060</v>
          </cell>
        </row>
        <row r="868">
          <cell r="C868">
            <v>286478110000</v>
          </cell>
          <cell r="D868">
            <v>54518180000</v>
          </cell>
          <cell r="E868">
            <v>0</v>
          </cell>
          <cell r="F868">
            <v>0</v>
          </cell>
          <cell r="G868">
            <v>340996290000</v>
          </cell>
          <cell r="H868">
            <v>92068997</v>
          </cell>
          <cell r="I868">
            <v>78474393000</v>
          </cell>
          <cell r="J868">
            <v>119287000000</v>
          </cell>
          <cell r="K868">
            <v>197761393000</v>
          </cell>
          <cell r="L868">
            <v>0</v>
          </cell>
          <cell r="M868">
            <v>63519963000</v>
          </cell>
          <cell r="N868">
            <v>110510826200</v>
          </cell>
          <cell r="O868">
            <v>174030789200</v>
          </cell>
          <cell r="P868">
            <v>4648657000</v>
          </cell>
          <cell r="Q868">
            <v>0</v>
          </cell>
          <cell r="R868">
            <v>4648657000</v>
          </cell>
          <cell r="S868">
            <v>7838154000</v>
          </cell>
          <cell r="T868">
            <v>0</v>
          </cell>
          <cell r="U868">
            <v>7838154000</v>
          </cell>
          <cell r="V868">
            <v>978886000</v>
          </cell>
          <cell r="W868">
            <v>0</v>
          </cell>
          <cell r="X868">
            <v>978886000</v>
          </cell>
          <cell r="Y868">
            <v>2227358000</v>
          </cell>
          <cell r="Z868">
            <v>0</v>
          </cell>
          <cell r="AA868">
            <v>2227358000</v>
          </cell>
          <cell r="AK868">
            <v>58393849</v>
          </cell>
          <cell r="AL868">
            <v>3182780</v>
          </cell>
        </row>
        <row r="869">
          <cell r="B869">
            <v>44729</v>
          </cell>
          <cell r="C869">
            <v>35581895000</v>
          </cell>
          <cell r="D869">
            <v>15494935000</v>
          </cell>
          <cell r="G869">
            <v>51076830000</v>
          </cell>
          <cell r="H869">
            <v>13790744</v>
          </cell>
          <cell r="I869">
            <v>19777438000</v>
          </cell>
          <cell r="J869">
            <v>17787250000</v>
          </cell>
          <cell r="K869">
            <v>37564688000</v>
          </cell>
          <cell r="M869">
            <v>30440277000</v>
          </cell>
          <cell r="N869">
            <v>32910000000</v>
          </cell>
          <cell r="O869">
            <v>63350277000</v>
          </cell>
          <cell r="P869">
            <v>268609000</v>
          </cell>
          <cell r="R869">
            <v>268609000</v>
          </cell>
          <cell r="S869">
            <v>1801559000</v>
          </cell>
          <cell r="U869">
            <v>1801559000</v>
          </cell>
          <cell r="V869">
            <v>274771000</v>
          </cell>
          <cell r="X869">
            <v>274771000</v>
          </cell>
          <cell r="Y869">
            <v>452754000</v>
          </cell>
          <cell r="AA869">
            <v>452754000</v>
          </cell>
          <cell r="AK869">
            <v>14851169</v>
          </cell>
          <cell r="AL869">
            <v>789300</v>
          </cell>
        </row>
        <row r="870">
          <cell r="B870">
            <v>44732</v>
          </cell>
          <cell r="C870">
            <v>124201926000</v>
          </cell>
          <cell r="D870">
            <v>27374325000</v>
          </cell>
          <cell r="G870">
            <v>151576251000</v>
          </cell>
          <cell r="H870">
            <v>40925588</v>
          </cell>
          <cell r="I870">
            <v>9039854000</v>
          </cell>
          <cell r="K870">
            <v>9039854000</v>
          </cell>
          <cell r="M870">
            <v>7155430000</v>
          </cell>
          <cell r="N870">
            <v>10884000000</v>
          </cell>
          <cell r="O870">
            <v>18039430000</v>
          </cell>
          <cell r="P870">
            <v>258883000</v>
          </cell>
          <cell r="R870">
            <v>258883000</v>
          </cell>
          <cell r="S870">
            <v>1451295000</v>
          </cell>
          <cell r="U870">
            <v>1451295000</v>
          </cell>
          <cell r="V870">
            <v>252496000</v>
          </cell>
          <cell r="X870">
            <v>252496000</v>
          </cell>
          <cell r="Y870">
            <v>436598000</v>
          </cell>
          <cell r="AA870">
            <v>436598000</v>
          </cell>
          <cell r="AK870">
            <v>4149463</v>
          </cell>
          <cell r="AL870">
            <v>967040</v>
          </cell>
        </row>
        <row r="871">
          <cell r="B871">
            <v>44733</v>
          </cell>
          <cell r="C871">
            <v>95994981000</v>
          </cell>
          <cell r="G871">
            <v>95994981000</v>
          </cell>
          <cell r="H871">
            <v>25918645</v>
          </cell>
          <cell r="I871">
            <v>3942763000</v>
          </cell>
          <cell r="J871">
            <v>32159200000</v>
          </cell>
          <cell r="K871">
            <v>36101963000</v>
          </cell>
          <cell r="M871">
            <v>16026000000</v>
          </cell>
          <cell r="N871">
            <v>13451000000</v>
          </cell>
          <cell r="O871">
            <v>29477000000</v>
          </cell>
          <cell r="P871">
            <v>4852783000</v>
          </cell>
          <cell r="R871">
            <v>4852783000</v>
          </cell>
          <cell r="S871">
            <v>950542000</v>
          </cell>
          <cell r="U871">
            <v>950542000</v>
          </cell>
          <cell r="V871">
            <v>116882000</v>
          </cell>
          <cell r="X871">
            <v>116882000</v>
          </cell>
          <cell r="Y871">
            <v>412426000</v>
          </cell>
          <cell r="AA871">
            <v>412426000</v>
          </cell>
          <cell r="AK871">
            <v>11050387</v>
          </cell>
          <cell r="AL871">
            <v>663270</v>
          </cell>
        </row>
        <row r="872">
          <cell r="B872">
            <v>44734</v>
          </cell>
          <cell r="C872">
            <v>42991248000</v>
          </cell>
          <cell r="G872">
            <v>42991248000</v>
          </cell>
          <cell r="H872">
            <v>11607637</v>
          </cell>
          <cell r="I872">
            <v>5616390000</v>
          </cell>
          <cell r="J872">
            <v>4145000000</v>
          </cell>
          <cell r="K872">
            <v>9761390000</v>
          </cell>
          <cell r="M872">
            <v>15274139000</v>
          </cell>
          <cell r="N872">
            <v>71005000000</v>
          </cell>
          <cell r="O872">
            <v>86279139000</v>
          </cell>
          <cell r="P872">
            <v>6156888000</v>
          </cell>
          <cell r="R872">
            <v>6156888000</v>
          </cell>
          <cell r="S872">
            <v>1817726000</v>
          </cell>
          <cell r="U872">
            <v>1817726000</v>
          </cell>
          <cell r="V872">
            <v>139702000</v>
          </cell>
          <cell r="X872">
            <v>139702000</v>
          </cell>
          <cell r="Y872">
            <v>427748000</v>
          </cell>
          <cell r="AA872">
            <v>427748000</v>
          </cell>
          <cell r="AK872">
            <v>16705720</v>
          </cell>
          <cell r="AL872">
            <v>582330</v>
          </cell>
        </row>
        <row r="873">
          <cell r="B873">
            <v>44735</v>
          </cell>
          <cell r="C873">
            <v>37987925000</v>
          </cell>
          <cell r="D873">
            <v>12095120000</v>
          </cell>
          <cell r="F873">
            <v>2663920000</v>
          </cell>
          <cell r="G873">
            <v>52746965000</v>
          </cell>
          <cell r="H873">
            <v>14241681</v>
          </cell>
          <cell r="I873">
            <v>0</v>
          </cell>
          <cell r="J873">
            <v>29152022500</v>
          </cell>
          <cell r="K873">
            <v>29152022500</v>
          </cell>
          <cell r="M873">
            <v>12797738000</v>
          </cell>
          <cell r="N873">
            <v>18408500000</v>
          </cell>
          <cell r="O873">
            <v>31206238000</v>
          </cell>
          <cell r="P873">
            <v>1445165000</v>
          </cell>
          <cell r="R873">
            <v>1445165000</v>
          </cell>
          <cell r="S873">
            <v>786330000</v>
          </cell>
          <cell r="U873">
            <v>786330000</v>
          </cell>
          <cell r="V873">
            <v>327480000</v>
          </cell>
          <cell r="X873">
            <v>327480000</v>
          </cell>
          <cell r="Y873">
            <v>405027000</v>
          </cell>
          <cell r="Z873">
            <v>29199600000</v>
          </cell>
          <cell r="AA873">
            <v>29604627000</v>
          </cell>
          <cell r="AK873">
            <v>15519090</v>
          </cell>
          <cell r="AL873">
            <v>656310</v>
          </cell>
        </row>
        <row r="874">
          <cell r="C874">
            <v>336757975000</v>
          </cell>
          <cell r="D874">
            <v>54964380000</v>
          </cell>
          <cell r="E874">
            <v>0</v>
          </cell>
          <cell r="F874">
            <v>2663920000</v>
          </cell>
          <cell r="G874">
            <v>394386275000</v>
          </cell>
          <cell r="H874">
            <v>106484295</v>
          </cell>
          <cell r="I874">
            <v>38376445000</v>
          </cell>
          <cell r="J874">
            <v>83243472500</v>
          </cell>
          <cell r="K874">
            <v>121619917500</v>
          </cell>
          <cell r="L874">
            <v>0</v>
          </cell>
          <cell r="M874">
            <v>81693584000</v>
          </cell>
          <cell r="N874">
            <v>146658500000</v>
          </cell>
          <cell r="O874">
            <v>228352084000</v>
          </cell>
          <cell r="P874">
            <v>12982328000</v>
          </cell>
          <cell r="Q874">
            <v>0</v>
          </cell>
          <cell r="R874">
            <v>12982328000</v>
          </cell>
          <cell r="S874">
            <v>6807452000</v>
          </cell>
          <cell r="T874">
            <v>0</v>
          </cell>
          <cell r="U874">
            <v>6807452000</v>
          </cell>
          <cell r="V874">
            <v>1111331000</v>
          </cell>
          <cell r="W874">
            <v>0</v>
          </cell>
          <cell r="X874">
            <v>1111331000</v>
          </cell>
          <cell r="Y874">
            <v>2134553000</v>
          </cell>
          <cell r="Z874">
            <v>29199600000</v>
          </cell>
          <cell r="AA874">
            <v>31334153000</v>
          </cell>
          <cell r="AK874">
            <v>62275829</v>
          </cell>
          <cell r="AL874">
            <v>3658250</v>
          </cell>
        </row>
        <row r="875">
          <cell r="B875">
            <v>44736</v>
          </cell>
          <cell r="C875">
            <v>63741920000</v>
          </cell>
          <cell r="D875">
            <v>33512455000</v>
          </cell>
          <cell r="G875">
            <v>97254375000</v>
          </cell>
          <cell r="H875">
            <v>26258681</v>
          </cell>
          <cell r="I875">
            <v>358016000</v>
          </cell>
          <cell r="K875">
            <v>358016000</v>
          </cell>
          <cell r="M875">
            <v>20116721000</v>
          </cell>
          <cell r="N875">
            <v>2698500000</v>
          </cell>
          <cell r="O875">
            <v>22815221000</v>
          </cell>
          <cell r="P875">
            <v>111413000</v>
          </cell>
          <cell r="R875">
            <v>111413000</v>
          </cell>
          <cell r="S875">
            <v>652500000</v>
          </cell>
          <cell r="U875">
            <v>652500000</v>
          </cell>
          <cell r="V875">
            <v>3055000</v>
          </cell>
          <cell r="X875">
            <v>3055000</v>
          </cell>
          <cell r="Y875">
            <v>416427000</v>
          </cell>
          <cell r="AA875">
            <v>416427000</v>
          </cell>
          <cell r="AK875">
            <v>2824808</v>
          </cell>
          <cell r="AL875">
            <v>800910</v>
          </cell>
        </row>
        <row r="876">
          <cell r="B876">
            <v>44739</v>
          </cell>
          <cell r="C876">
            <v>21596955000</v>
          </cell>
          <cell r="D876">
            <v>3517150000</v>
          </cell>
          <cell r="F876">
            <v>12829080000</v>
          </cell>
          <cell r="G876">
            <v>37943185000</v>
          </cell>
          <cell r="H876">
            <v>10244662</v>
          </cell>
          <cell r="I876">
            <v>531949000</v>
          </cell>
          <cell r="K876">
            <v>531949000</v>
          </cell>
          <cell r="M876">
            <v>8582871000</v>
          </cell>
          <cell r="N876">
            <v>4076100000</v>
          </cell>
          <cell r="O876">
            <v>12658971000</v>
          </cell>
          <cell r="P876">
            <v>423694000</v>
          </cell>
          <cell r="R876">
            <v>423694000</v>
          </cell>
          <cell r="S876">
            <v>799703000</v>
          </cell>
          <cell r="U876">
            <v>799703000</v>
          </cell>
          <cell r="V876">
            <v>135133000</v>
          </cell>
          <cell r="X876">
            <v>135133000</v>
          </cell>
          <cell r="Y876">
            <v>411398000</v>
          </cell>
          <cell r="AA876">
            <v>411398000</v>
          </cell>
          <cell r="AK876">
            <v>1909251</v>
          </cell>
          <cell r="AL876">
            <v>797090</v>
          </cell>
        </row>
        <row r="877">
          <cell r="B877">
            <v>44740</v>
          </cell>
          <cell r="C877">
            <v>68906530000</v>
          </cell>
          <cell r="D877">
            <v>12280940000</v>
          </cell>
          <cell r="G877">
            <v>81187470000</v>
          </cell>
          <cell r="H877">
            <v>21920617</v>
          </cell>
          <cell r="I877">
            <v>4954146000</v>
          </cell>
          <cell r="K877">
            <v>4954146000</v>
          </cell>
          <cell r="M877">
            <v>22059240000</v>
          </cell>
          <cell r="O877">
            <v>22059240000</v>
          </cell>
          <cell r="P877">
            <v>1073485000</v>
          </cell>
          <cell r="R877">
            <v>1073485000</v>
          </cell>
          <cell r="S877">
            <v>727906000</v>
          </cell>
          <cell r="U877">
            <v>727906000</v>
          </cell>
          <cell r="V877">
            <v>7846000</v>
          </cell>
          <cell r="X877">
            <v>7846000</v>
          </cell>
          <cell r="Y877">
            <v>424732000</v>
          </cell>
          <cell r="AA877">
            <v>424732000</v>
          </cell>
          <cell r="AK877">
            <v>3158714</v>
          </cell>
          <cell r="AL877">
            <v>738420</v>
          </cell>
        </row>
        <row r="878">
          <cell r="B878">
            <v>44741</v>
          </cell>
          <cell r="C878">
            <v>105807330000</v>
          </cell>
          <cell r="D878">
            <v>36087870000</v>
          </cell>
          <cell r="G878">
            <v>141895200000</v>
          </cell>
          <cell r="H878">
            <v>38311704</v>
          </cell>
          <cell r="I878">
            <v>371876000</v>
          </cell>
          <cell r="J878">
            <v>4288100000</v>
          </cell>
          <cell r="K878">
            <v>4659976000</v>
          </cell>
          <cell r="M878">
            <v>18086097000</v>
          </cell>
          <cell r="N878">
            <v>9627500000</v>
          </cell>
          <cell r="O878">
            <v>27713597000</v>
          </cell>
          <cell r="P878">
            <v>250505000</v>
          </cell>
          <cell r="R878">
            <v>250505000</v>
          </cell>
          <cell r="S878">
            <v>2916943000</v>
          </cell>
          <cell r="U878">
            <v>2916943000</v>
          </cell>
          <cell r="V878">
            <v>1560000</v>
          </cell>
          <cell r="X878">
            <v>1560000</v>
          </cell>
          <cell r="Y878">
            <v>461256000</v>
          </cell>
          <cell r="AA878">
            <v>461256000</v>
          </cell>
          <cell r="AK878">
            <v>4890338</v>
          </cell>
          <cell r="AL878">
            <v>997350</v>
          </cell>
        </row>
        <row r="879">
          <cell r="B879">
            <v>44742</v>
          </cell>
          <cell r="C879">
            <v>58770420000</v>
          </cell>
          <cell r="G879">
            <v>58770420000</v>
          </cell>
          <cell r="H879">
            <v>15868013</v>
          </cell>
          <cell r="I879">
            <v>20176569000</v>
          </cell>
          <cell r="K879">
            <v>20176569000</v>
          </cell>
          <cell r="M879">
            <v>19675894000</v>
          </cell>
          <cell r="O879">
            <v>19675894000</v>
          </cell>
          <cell r="P879">
            <v>442590000</v>
          </cell>
          <cell r="R879">
            <v>442590000</v>
          </cell>
          <cell r="S879">
            <v>833797000</v>
          </cell>
          <cell r="U879">
            <v>833797000</v>
          </cell>
          <cell r="V879">
            <v>33004000</v>
          </cell>
          <cell r="X879">
            <v>33004000</v>
          </cell>
          <cell r="Y879">
            <v>417608000</v>
          </cell>
          <cell r="AA879">
            <v>417608000</v>
          </cell>
          <cell r="AK879">
            <v>4490582</v>
          </cell>
          <cell r="AL879">
            <v>474090</v>
          </cell>
        </row>
        <row r="880">
          <cell r="C880">
            <v>318823155000</v>
          </cell>
          <cell r="D880">
            <v>85398415000</v>
          </cell>
          <cell r="E880">
            <v>0</v>
          </cell>
          <cell r="F880">
            <v>12829080000</v>
          </cell>
          <cell r="G880">
            <v>417050650000</v>
          </cell>
          <cell r="H880">
            <v>112603677</v>
          </cell>
          <cell r="I880">
            <v>26392556000</v>
          </cell>
          <cell r="J880">
            <v>4288100000</v>
          </cell>
          <cell r="K880">
            <v>30680656000</v>
          </cell>
          <cell r="L880">
            <v>0</v>
          </cell>
          <cell r="M880">
            <v>88520823000</v>
          </cell>
          <cell r="N880">
            <v>16402100000</v>
          </cell>
          <cell r="O880">
            <v>104922923000</v>
          </cell>
          <cell r="P880">
            <v>2301687000</v>
          </cell>
          <cell r="Q880">
            <v>0</v>
          </cell>
          <cell r="R880">
            <v>2301687000</v>
          </cell>
          <cell r="S880">
            <v>5930849000</v>
          </cell>
          <cell r="T880">
            <v>0</v>
          </cell>
          <cell r="U880">
            <v>5930849000</v>
          </cell>
          <cell r="V880">
            <v>180598000</v>
          </cell>
          <cell r="W880">
            <v>0</v>
          </cell>
          <cell r="X880">
            <v>180598000</v>
          </cell>
          <cell r="Y880">
            <v>2131421000</v>
          </cell>
          <cell r="Z880">
            <v>0</v>
          </cell>
          <cell r="AA880">
            <v>2131421000</v>
          </cell>
          <cell r="AK880">
            <v>17273693</v>
          </cell>
          <cell r="AL880">
            <v>3807860</v>
          </cell>
        </row>
        <row r="881">
          <cell r="B881">
            <v>44743</v>
          </cell>
          <cell r="C881">
            <v>47097428000</v>
          </cell>
          <cell r="G881">
            <v>47097428000</v>
          </cell>
          <cell r="H881">
            <v>12716306</v>
          </cell>
          <cell r="I881">
            <v>4171000</v>
          </cell>
          <cell r="J881">
            <v>4220800000</v>
          </cell>
          <cell r="K881">
            <v>4224971000</v>
          </cell>
          <cell r="M881">
            <v>21919557000</v>
          </cell>
          <cell r="N881">
            <v>128405000000</v>
          </cell>
          <cell r="O881">
            <v>150324557000</v>
          </cell>
          <cell r="P881">
            <v>151350000</v>
          </cell>
          <cell r="R881">
            <v>151350000</v>
          </cell>
          <cell r="S881">
            <v>2648477000</v>
          </cell>
          <cell r="U881">
            <v>2648477000</v>
          </cell>
          <cell r="V881">
            <v>4626000</v>
          </cell>
          <cell r="X881">
            <v>4626000</v>
          </cell>
          <cell r="Y881">
            <v>810000</v>
          </cell>
          <cell r="Z881">
            <v>8180000000</v>
          </cell>
          <cell r="AA881">
            <v>8180810000</v>
          </cell>
          <cell r="AK881">
            <v>28015775</v>
          </cell>
          <cell r="AL881">
            <v>1684620</v>
          </cell>
        </row>
        <row r="882">
          <cell r="B882">
            <v>44746</v>
          </cell>
          <cell r="C882">
            <v>34625119000</v>
          </cell>
          <cell r="D882">
            <v>7374805000</v>
          </cell>
          <cell r="G882">
            <v>41999924000</v>
          </cell>
          <cell r="H882">
            <v>11339979</v>
          </cell>
          <cell r="I882">
            <v>1516020000</v>
          </cell>
          <cell r="J882">
            <v>6339400000</v>
          </cell>
          <cell r="K882">
            <v>7855420000</v>
          </cell>
          <cell r="M882">
            <v>13661680000</v>
          </cell>
          <cell r="N882">
            <v>8092500000</v>
          </cell>
          <cell r="O882">
            <v>21754180000</v>
          </cell>
          <cell r="P882">
            <v>504180000</v>
          </cell>
          <cell r="R882">
            <v>504180000</v>
          </cell>
          <cell r="S882">
            <v>2109312000</v>
          </cell>
          <cell r="U882">
            <v>2109312000</v>
          </cell>
          <cell r="V882">
            <v>174766000</v>
          </cell>
          <cell r="X882">
            <v>174766000</v>
          </cell>
          <cell r="Y882">
            <v>437874000</v>
          </cell>
          <cell r="AA882">
            <v>437874000</v>
          </cell>
          <cell r="AK882">
            <v>4585356</v>
          </cell>
          <cell r="AL882">
            <v>357870</v>
          </cell>
        </row>
        <row r="883">
          <cell r="B883">
            <v>44747</v>
          </cell>
          <cell r="C883">
            <v>45786000000</v>
          </cell>
          <cell r="D883">
            <v>79832880000</v>
          </cell>
          <cell r="G883">
            <v>125618880000</v>
          </cell>
          <cell r="H883">
            <v>33917098</v>
          </cell>
          <cell r="I883">
            <v>5858570000</v>
          </cell>
          <cell r="K883">
            <v>5858570000</v>
          </cell>
          <cell r="M883">
            <v>28512651000</v>
          </cell>
          <cell r="N883">
            <v>10659000000</v>
          </cell>
          <cell r="O883">
            <v>39171651000</v>
          </cell>
          <cell r="P883">
            <v>408170000</v>
          </cell>
          <cell r="R883">
            <v>408170000</v>
          </cell>
          <cell r="S883">
            <v>793376000</v>
          </cell>
          <cell r="U883">
            <v>793376000</v>
          </cell>
          <cell r="V883">
            <v>304609000</v>
          </cell>
          <cell r="X883">
            <v>304609000</v>
          </cell>
          <cell r="Y883">
            <v>428314000</v>
          </cell>
          <cell r="Z883">
            <v>26108800000</v>
          </cell>
          <cell r="AA883">
            <v>26537114000</v>
          </cell>
          <cell r="AK883">
            <v>10539219</v>
          </cell>
          <cell r="AL883">
            <v>1244220</v>
          </cell>
        </row>
        <row r="884">
          <cell r="B884">
            <v>44748</v>
          </cell>
          <cell r="C884">
            <v>42877105000</v>
          </cell>
          <cell r="E884">
            <v>4697595000</v>
          </cell>
          <cell r="F884">
            <v>15567390000</v>
          </cell>
          <cell r="G884">
            <v>63142090000</v>
          </cell>
          <cell r="H884">
            <v>17048364</v>
          </cell>
          <cell r="I884">
            <v>1210116000</v>
          </cell>
          <cell r="J884">
            <v>4135000000</v>
          </cell>
          <cell r="K884">
            <v>5345116000</v>
          </cell>
          <cell r="M884">
            <v>50232427000</v>
          </cell>
          <cell r="N884">
            <v>10521700000</v>
          </cell>
          <cell r="O884">
            <v>60754127000</v>
          </cell>
          <cell r="P884">
            <v>654486000</v>
          </cell>
          <cell r="R884">
            <v>654486000</v>
          </cell>
          <cell r="S884">
            <v>4200803000</v>
          </cell>
          <cell r="U884">
            <v>4200803000</v>
          </cell>
          <cell r="V884">
            <v>121717000</v>
          </cell>
          <cell r="X884">
            <v>121717000</v>
          </cell>
          <cell r="Y884">
            <v>461986000</v>
          </cell>
          <cell r="AA884">
            <v>461986000</v>
          </cell>
          <cell r="AK884">
            <v>8781412</v>
          </cell>
          <cell r="AL884">
            <v>265560</v>
          </cell>
        </row>
        <row r="885">
          <cell r="B885">
            <v>44749</v>
          </cell>
          <cell r="C885">
            <v>34846537000</v>
          </cell>
          <cell r="G885">
            <v>34846537000</v>
          </cell>
          <cell r="H885">
            <v>9408565</v>
          </cell>
          <cell r="I885">
            <v>5158093000</v>
          </cell>
          <cell r="J885">
            <v>2060000000</v>
          </cell>
          <cell r="K885">
            <v>7218093000</v>
          </cell>
          <cell r="M885">
            <v>17411839000</v>
          </cell>
          <cell r="N885">
            <v>23169900000</v>
          </cell>
          <cell r="O885">
            <v>40581739000</v>
          </cell>
          <cell r="P885">
            <v>1563802000</v>
          </cell>
          <cell r="R885">
            <v>1563802000</v>
          </cell>
          <cell r="S885">
            <v>1071986000</v>
          </cell>
          <cell r="U885">
            <v>1071986000</v>
          </cell>
          <cell r="V885">
            <v>6095000</v>
          </cell>
          <cell r="X885">
            <v>6095000</v>
          </cell>
          <cell r="Y885">
            <v>5595000</v>
          </cell>
          <cell r="AA885">
            <v>5595000</v>
          </cell>
          <cell r="AK885">
            <v>7264862</v>
          </cell>
          <cell r="AL885">
            <v>605100</v>
          </cell>
        </row>
        <row r="886">
          <cell r="C886">
            <v>205232189000</v>
          </cell>
          <cell r="D886">
            <v>87207685000</v>
          </cell>
          <cell r="E886">
            <v>4697595000</v>
          </cell>
          <cell r="F886">
            <v>15567390000</v>
          </cell>
          <cell r="G886">
            <v>312704859000</v>
          </cell>
          <cell r="H886">
            <v>84430312</v>
          </cell>
          <cell r="I886">
            <v>13746970000</v>
          </cell>
          <cell r="J886">
            <v>16755200000</v>
          </cell>
          <cell r="K886">
            <v>30502170000</v>
          </cell>
          <cell r="L886">
            <v>0</v>
          </cell>
          <cell r="M886">
            <v>131738154000</v>
          </cell>
          <cell r="N886">
            <v>180848100000</v>
          </cell>
          <cell r="O886">
            <v>312586254000</v>
          </cell>
          <cell r="P886">
            <v>3281988000</v>
          </cell>
          <cell r="Q886">
            <v>0</v>
          </cell>
          <cell r="R886">
            <v>3281988000</v>
          </cell>
          <cell r="S886">
            <v>10823954000</v>
          </cell>
          <cell r="T886">
            <v>0</v>
          </cell>
          <cell r="U886">
            <v>10823954000</v>
          </cell>
          <cell r="V886">
            <v>611813000</v>
          </cell>
          <cell r="W886">
            <v>0</v>
          </cell>
          <cell r="X886">
            <v>611813000</v>
          </cell>
          <cell r="Y886">
            <v>1334579000</v>
          </cell>
          <cell r="Z886">
            <v>34288800000</v>
          </cell>
          <cell r="AA886">
            <v>35623379000</v>
          </cell>
          <cell r="AK886">
            <v>59186624</v>
          </cell>
          <cell r="AL886">
            <v>4157370</v>
          </cell>
        </row>
        <row r="887">
          <cell r="B887">
            <v>44750</v>
          </cell>
          <cell r="C887">
            <v>14673029756</v>
          </cell>
          <cell r="G887">
            <v>14673029756</v>
          </cell>
          <cell r="H887">
            <v>3961718</v>
          </cell>
          <cell r="I887">
            <v>839992000</v>
          </cell>
          <cell r="K887">
            <v>839992000</v>
          </cell>
          <cell r="M887">
            <v>11841374000</v>
          </cell>
          <cell r="N887">
            <v>10446000000</v>
          </cell>
          <cell r="O887">
            <v>22287374000</v>
          </cell>
          <cell r="P887">
            <v>651427000</v>
          </cell>
          <cell r="R887">
            <v>651427000</v>
          </cell>
          <cell r="S887">
            <v>797749000</v>
          </cell>
          <cell r="U887">
            <v>797749000</v>
          </cell>
          <cell r="V887">
            <v>149489000</v>
          </cell>
          <cell r="X887">
            <v>149489000</v>
          </cell>
          <cell r="Y887">
            <v>428552000</v>
          </cell>
          <cell r="AA887">
            <v>428552000</v>
          </cell>
          <cell r="AK887">
            <v>3468807</v>
          </cell>
          <cell r="AL887">
            <v>334470</v>
          </cell>
        </row>
        <row r="888">
          <cell r="B888">
            <v>44753</v>
          </cell>
          <cell r="C888">
            <v>33721535000</v>
          </cell>
          <cell r="D888">
            <v>3537020000</v>
          </cell>
          <cell r="F888">
            <v>2628475000</v>
          </cell>
          <cell r="G888">
            <v>39887030000</v>
          </cell>
          <cell r="H888">
            <v>10769498</v>
          </cell>
          <cell r="I888">
            <v>6711317000</v>
          </cell>
          <cell r="K888">
            <v>6711317000</v>
          </cell>
          <cell r="M888">
            <v>19680106000</v>
          </cell>
          <cell r="N888">
            <v>15446000000</v>
          </cell>
          <cell r="O888">
            <v>35126106000</v>
          </cell>
          <cell r="P888">
            <v>808100000</v>
          </cell>
          <cell r="R888">
            <v>808100000</v>
          </cell>
          <cell r="S888">
            <v>1102011000</v>
          </cell>
          <cell r="U888">
            <v>1102011000</v>
          </cell>
          <cell r="V888">
            <v>60240000</v>
          </cell>
          <cell r="X888">
            <v>60240000</v>
          </cell>
          <cell r="Y888">
            <v>419941000</v>
          </cell>
          <cell r="AA888">
            <v>419941000</v>
          </cell>
          <cell r="AK888">
            <v>5888705</v>
          </cell>
          <cell r="AL888">
            <v>324000</v>
          </cell>
        </row>
        <row r="889">
          <cell r="B889">
            <v>44754</v>
          </cell>
          <cell r="C889">
            <v>17302820000</v>
          </cell>
          <cell r="G889">
            <v>17302820000</v>
          </cell>
          <cell r="H889">
            <v>4671761</v>
          </cell>
          <cell r="I889">
            <v>4309243000</v>
          </cell>
          <cell r="J889">
            <v>4076800000</v>
          </cell>
          <cell r="K889">
            <v>8386043000</v>
          </cell>
          <cell r="M889">
            <v>38618154000</v>
          </cell>
          <cell r="N889">
            <v>25485500000</v>
          </cell>
          <cell r="O889">
            <v>64103654000</v>
          </cell>
          <cell r="P889">
            <v>648303000</v>
          </cell>
          <cell r="R889">
            <v>648303000</v>
          </cell>
          <cell r="S889">
            <v>901964000</v>
          </cell>
          <cell r="U889">
            <v>901964000</v>
          </cell>
          <cell r="V889">
            <v>91623000</v>
          </cell>
          <cell r="X889">
            <v>91623000</v>
          </cell>
          <cell r="Y889">
            <v>407973000</v>
          </cell>
          <cell r="AA889">
            <v>407973000</v>
          </cell>
          <cell r="AK889">
            <v>10178758</v>
          </cell>
          <cell r="AL889">
            <v>515340</v>
          </cell>
        </row>
        <row r="890">
          <cell r="B890">
            <v>44755</v>
          </cell>
          <cell r="C890">
            <v>70182865000</v>
          </cell>
          <cell r="G890">
            <v>70182865000</v>
          </cell>
          <cell r="H890">
            <v>18949374</v>
          </cell>
          <cell r="I890">
            <v>15688660000</v>
          </cell>
          <cell r="K890">
            <v>15688660000</v>
          </cell>
          <cell r="M890">
            <v>35935279000</v>
          </cell>
          <cell r="O890">
            <v>35935279000</v>
          </cell>
          <cell r="P890">
            <v>149798000</v>
          </cell>
          <cell r="R890">
            <v>149798000</v>
          </cell>
          <cell r="S890">
            <v>813919000</v>
          </cell>
          <cell r="U890">
            <v>813919000</v>
          </cell>
          <cell r="V890">
            <v>97936000</v>
          </cell>
          <cell r="X890">
            <v>97936000</v>
          </cell>
          <cell r="Y890">
            <v>423741000</v>
          </cell>
          <cell r="AA890">
            <v>423741000</v>
          </cell>
          <cell r="AK890">
            <v>5735808</v>
          </cell>
          <cell r="AL890">
            <v>956640</v>
          </cell>
        </row>
        <row r="891">
          <cell r="B891">
            <v>44756</v>
          </cell>
          <cell r="C891">
            <v>32685965000</v>
          </cell>
          <cell r="G891">
            <v>32685965000</v>
          </cell>
          <cell r="H891">
            <v>8825211</v>
          </cell>
          <cell r="I891">
            <v>19675985000</v>
          </cell>
          <cell r="K891">
            <v>19675985000</v>
          </cell>
          <cell r="M891">
            <v>16078474000</v>
          </cell>
          <cell r="N891">
            <v>7690500000</v>
          </cell>
          <cell r="O891">
            <v>23768974000</v>
          </cell>
          <cell r="P891">
            <v>127421000</v>
          </cell>
          <cell r="R891">
            <v>127421000</v>
          </cell>
          <cell r="S891">
            <v>639405000</v>
          </cell>
          <cell r="U891">
            <v>639405000</v>
          </cell>
          <cell r="V891">
            <v>31635000</v>
          </cell>
          <cell r="X891">
            <v>31635000</v>
          </cell>
          <cell r="Y891">
            <v>413654000</v>
          </cell>
          <cell r="Z891">
            <v>63992000000</v>
          </cell>
          <cell r="AA891">
            <v>64405654000</v>
          </cell>
          <cell r="AK891">
            <v>16895240</v>
          </cell>
          <cell r="AL891">
            <v>2571990</v>
          </cell>
        </row>
        <row r="892">
          <cell r="C892">
            <v>168566214756</v>
          </cell>
          <cell r="D892">
            <v>3537020000</v>
          </cell>
          <cell r="E892">
            <v>0</v>
          </cell>
          <cell r="F892">
            <v>2628475000</v>
          </cell>
          <cell r="G892">
            <v>174731709756</v>
          </cell>
          <cell r="H892">
            <v>47177562</v>
          </cell>
          <cell r="I892">
            <v>47225197000</v>
          </cell>
          <cell r="J892">
            <v>4076800000</v>
          </cell>
          <cell r="K892">
            <v>51301997000</v>
          </cell>
          <cell r="L892">
            <v>0</v>
          </cell>
          <cell r="M892">
            <v>122153387000</v>
          </cell>
          <cell r="N892">
            <v>59068000000</v>
          </cell>
          <cell r="O892">
            <v>181221387000</v>
          </cell>
          <cell r="P892">
            <v>2385049000</v>
          </cell>
          <cell r="Q892">
            <v>0</v>
          </cell>
          <cell r="R892">
            <v>2385049000</v>
          </cell>
          <cell r="S892">
            <v>4255048000</v>
          </cell>
          <cell r="T892">
            <v>0</v>
          </cell>
          <cell r="U892">
            <v>4255048000</v>
          </cell>
          <cell r="V892">
            <v>430923000</v>
          </cell>
          <cell r="W892">
            <v>0</v>
          </cell>
          <cell r="X892">
            <v>430923000</v>
          </cell>
          <cell r="Y892">
            <v>2093861000</v>
          </cell>
          <cell r="Z892">
            <v>63992000000</v>
          </cell>
          <cell r="AA892">
            <v>66085861000</v>
          </cell>
          <cell r="AK892">
            <v>42167318</v>
          </cell>
          <cell r="AL892">
            <v>4702440</v>
          </cell>
        </row>
        <row r="893">
          <cell r="B893">
            <v>44757</v>
          </cell>
          <cell r="C893">
            <v>43073145168</v>
          </cell>
          <cell r="G893">
            <v>43073145168</v>
          </cell>
          <cell r="H893">
            <v>11629749</v>
          </cell>
          <cell r="I893">
            <v>2791982004</v>
          </cell>
          <cell r="K893">
            <v>2791982004</v>
          </cell>
          <cell r="M893">
            <v>4908791768</v>
          </cell>
          <cell r="O893">
            <v>4908791768</v>
          </cell>
          <cell r="P893">
            <v>543502078</v>
          </cell>
          <cell r="R893">
            <v>543502078</v>
          </cell>
          <cell r="S893">
            <v>890643799</v>
          </cell>
          <cell r="U893">
            <v>890643799</v>
          </cell>
          <cell r="V893">
            <v>122520012</v>
          </cell>
          <cell r="X893">
            <v>122520012</v>
          </cell>
          <cell r="Y893">
            <v>403481142</v>
          </cell>
          <cell r="AA893">
            <v>403481142</v>
          </cell>
          <cell r="AK893">
            <v>1043379</v>
          </cell>
          <cell r="AL893">
            <v>289710</v>
          </cell>
        </row>
        <row r="894">
          <cell r="B894">
            <v>44760</v>
          </cell>
          <cell r="C894">
            <v>3986013087</v>
          </cell>
          <cell r="F894">
            <v>22205185000</v>
          </cell>
          <cell r="G894">
            <v>26191198087</v>
          </cell>
          <cell r="H894">
            <v>7071623</v>
          </cell>
          <cell r="I894">
            <v>168714445</v>
          </cell>
          <cell r="J894">
            <v>6163800000</v>
          </cell>
          <cell r="K894">
            <v>6332514445</v>
          </cell>
          <cell r="M894">
            <v>7533984668</v>
          </cell>
          <cell r="N894">
            <v>6411250000</v>
          </cell>
          <cell r="O894">
            <v>13945234668</v>
          </cell>
          <cell r="P894">
            <v>316656990</v>
          </cell>
          <cell r="R894">
            <v>316656990</v>
          </cell>
          <cell r="S894">
            <v>1002563143</v>
          </cell>
          <cell r="U894">
            <v>1002563143</v>
          </cell>
          <cell r="V894">
            <v>69285988</v>
          </cell>
          <cell r="X894">
            <v>69285988</v>
          </cell>
          <cell r="Y894">
            <v>412707944</v>
          </cell>
          <cell r="AA894">
            <v>412707944</v>
          </cell>
          <cell r="AK894">
            <v>3289932</v>
          </cell>
          <cell r="AL894">
            <v>280230</v>
          </cell>
        </row>
        <row r="895">
          <cell r="B895">
            <v>44761</v>
          </cell>
          <cell r="C895">
            <v>39962984635</v>
          </cell>
          <cell r="D895">
            <v>575400000</v>
          </cell>
          <cell r="G895">
            <v>40538384635</v>
          </cell>
          <cell r="H895">
            <v>10945364</v>
          </cell>
          <cell r="I895">
            <v>140884470</v>
          </cell>
          <cell r="K895">
            <v>140884470</v>
          </cell>
          <cell r="M895">
            <v>3693690173</v>
          </cell>
          <cell r="N895">
            <v>25475000000</v>
          </cell>
          <cell r="O895">
            <v>29168690173</v>
          </cell>
          <cell r="P895">
            <v>162890880</v>
          </cell>
          <cell r="R895">
            <v>162890880</v>
          </cell>
          <cell r="S895">
            <v>508634976</v>
          </cell>
          <cell r="U895">
            <v>508634976</v>
          </cell>
          <cell r="V895">
            <v>1503000</v>
          </cell>
          <cell r="X895">
            <v>1503000</v>
          </cell>
          <cell r="Y895">
            <v>406253874</v>
          </cell>
          <cell r="AA895">
            <v>406253874</v>
          </cell>
          <cell r="AK895">
            <v>5116197</v>
          </cell>
          <cell r="AL895">
            <v>45960</v>
          </cell>
        </row>
        <row r="896">
          <cell r="B896">
            <v>44762</v>
          </cell>
          <cell r="C896">
            <v>18525772354</v>
          </cell>
          <cell r="G896">
            <v>18525772354</v>
          </cell>
          <cell r="H896">
            <v>5001959</v>
          </cell>
          <cell r="I896">
            <v>4640829081</v>
          </cell>
          <cell r="K896">
            <v>4640829081</v>
          </cell>
          <cell r="M896">
            <v>8229809391</v>
          </cell>
          <cell r="N896">
            <v>3909900000</v>
          </cell>
          <cell r="O896">
            <v>12139709391</v>
          </cell>
          <cell r="P896">
            <v>179930052</v>
          </cell>
          <cell r="R896">
            <v>179930052</v>
          </cell>
          <cell r="S896">
            <v>4691888082</v>
          </cell>
          <cell r="U896">
            <v>4691888082</v>
          </cell>
          <cell r="V896">
            <v>6113000</v>
          </cell>
          <cell r="X896">
            <v>6113000</v>
          </cell>
          <cell r="Y896">
            <v>414926040</v>
          </cell>
          <cell r="AA896">
            <v>414926040</v>
          </cell>
          <cell r="AK896">
            <v>2665440</v>
          </cell>
          <cell r="AL896">
            <v>231660</v>
          </cell>
        </row>
        <row r="897">
          <cell r="B897">
            <v>44763</v>
          </cell>
          <cell r="C897">
            <v>54409585000</v>
          </cell>
          <cell r="G897">
            <v>54409585000</v>
          </cell>
          <cell r="H897">
            <v>14690588</v>
          </cell>
          <cell r="I897">
            <v>34175735000</v>
          </cell>
          <cell r="K897">
            <v>34175735000</v>
          </cell>
          <cell r="M897">
            <v>25069833000</v>
          </cell>
          <cell r="O897">
            <v>25069833000</v>
          </cell>
          <cell r="P897">
            <v>58374000</v>
          </cell>
          <cell r="R897">
            <v>58374000</v>
          </cell>
          <cell r="S897">
            <v>1239484000</v>
          </cell>
          <cell r="U897">
            <v>1239484000</v>
          </cell>
          <cell r="V897">
            <v>137999000</v>
          </cell>
          <cell r="X897">
            <v>137999000</v>
          </cell>
          <cell r="Y897">
            <v>415900000</v>
          </cell>
          <cell r="AA897">
            <v>415900000</v>
          </cell>
          <cell r="AK897">
            <v>6598511</v>
          </cell>
          <cell r="AL897">
            <v>611610</v>
          </cell>
        </row>
        <row r="898">
          <cell r="C898">
            <v>159957500244</v>
          </cell>
          <cell r="D898">
            <v>575400000</v>
          </cell>
          <cell r="E898">
            <v>0</v>
          </cell>
          <cell r="F898">
            <v>22205185000</v>
          </cell>
          <cell r="G898">
            <v>182738085244</v>
          </cell>
          <cell r="H898">
            <v>49339283</v>
          </cell>
          <cell r="I898">
            <v>41918145000</v>
          </cell>
          <cell r="J898">
            <v>6163800000</v>
          </cell>
          <cell r="K898">
            <v>48081945000</v>
          </cell>
          <cell r="L898">
            <v>0</v>
          </cell>
          <cell r="M898">
            <v>49436109000</v>
          </cell>
          <cell r="N898">
            <v>35796150000</v>
          </cell>
          <cell r="O898">
            <v>85232259000</v>
          </cell>
          <cell r="P898">
            <v>1261354000</v>
          </cell>
          <cell r="Q898">
            <v>0</v>
          </cell>
          <cell r="R898">
            <v>1261354000</v>
          </cell>
          <cell r="S898">
            <v>8333214000</v>
          </cell>
          <cell r="T898">
            <v>0</v>
          </cell>
          <cell r="U898">
            <v>8333214000</v>
          </cell>
          <cell r="V898">
            <v>337421000</v>
          </cell>
          <cell r="W898">
            <v>0</v>
          </cell>
          <cell r="X898">
            <v>337421000</v>
          </cell>
          <cell r="Y898">
            <v>2053269000</v>
          </cell>
          <cell r="Z898">
            <v>0</v>
          </cell>
          <cell r="AA898">
            <v>2053269000</v>
          </cell>
          <cell r="AK898">
            <v>18713459</v>
          </cell>
          <cell r="AL898">
            <v>1459170</v>
          </cell>
        </row>
        <row r="899">
          <cell r="B899">
            <v>44764</v>
          </cell>
          <cell r="C899">
            <v>17362375000</v>
          </cell>
          <cell r="D899">
            <v>2698930000</v>
          </cell>
          <cell r="G899">
            <v>20061305000</v>
          </cell>
          <cell r="H899">
            <v>5416552</v>
          </cell>
          <cell r="I899">
            <v>16631930000</v>
          </cell>
          <cell r="J899">
            <v>2090800000</v>
          </cell>
          <cell r="K899">
            <v>18722730000</v>
          </cell>
          <cell r="M899">
            <v>29966647000</v>
          </cell>
          <cell r="N899">
            <v>10562000000</v>
          </cell>
          <cell r="O899">
            <v>40528647000</v>
          </cell>
          <cell r="P899">
            <v>765098000</v>
          </cell>
          <cell r="R899">
            <v>765098000</v>
          </cell>
          <cell r="S899">
            <v>1073901000</v>
          </cell>
          <cell r="U899">
            <v>1073901000</v>
          </cell>
          <cell r="V899">
            <v>223828000</v>
          </cell>
          <cell r="X899">
            <v>223828000</v>
          </cell>
          <cell r="Y899">
            <v>407730000</v>
          </cell>
          <cell r="AA899">
            <v>407730000</v>
          </cell>
          <cell r="AK899">
            <v>7576970</v>
          </cell>
          <cell r="AL899">
            <v>319050</v>
          </cell>
        </row>
        <row r="900">
          <cell r="B900">
            <v>44767</v>
          </cell>
          <cell r="C900">
            <v>51215070000</v>
          </cell>
          <cell r="G900">
            <v>51215070000</v>
          </cell>
          <cell r="H900">
            <v>13828069</v>
          </cell>
          <cell r="I900">
            <v>15011115000</v>
          </cell>
          <cell r="J900">
            <v>2068500000</v>
          </cell>
          <cell r="K900">
            <v>17079615000</v>
          </cell>
          <cell r="M900">
            <v>12305355000</v>
          </cell>
          <cell r="N900">
            <v>39690000000</v>
          </cell>
          <cell r="O900">
            <v>51995355000</v>
          </cell>
          <cell r="P900">
            <v>269401000</v>
          </cell>
          <cell r="R900">
            <v>269401000</v>
          </cell>
          <cell r="S900">
            <v>675415000</v>
          </cell>
          <cell r="U900">
            <v>675415000</v>
          </cell>
          <cell r="V900">
            <v>6044000</v>
          </cell>
          <cell r="X900">
            <v>6044000</v>
          </cell>
          <cell r="Y900">
            <v>402304000</v>
          </cell>
          <cell r="AA900">
            <v>402304000</v>
          </cell>
          <cell r="AK900">
            <v>10612850</v>
          </cell>
          <cell r="AL900">
            <v>526320</v>
          </cell>
        </row>
        <row r="901">
          <cell r="B901">
            <v>44768</v>
          </cell>
          <cell r="C901">
            <v>11460520000</v>
          </cell>
          <cell r="D901">
            <v>2652340000</v>
          </cell>
          <cell r="G901">
            <v>14112860000</v>
          </cell>
          <cell r="H901">
            <v>3810472</v>
          </cell>
          <cell r="I901">
            <v>274687000</v>
          </cell>
          <cell r="J901">
            <v>34997900000</v>
          </cell>
          <cell r="K901">
            <v>35272587000</v>
          </cell>
          <cell r="M901">
            <v>11949641000</v>
          </cell>
          <cell r="N901">
            <v>2585500000</v>
          </cell>
          <cell r="O901">
            <v>14535141000</v>
          </cell>
          <cell r="P901">
            <v>1684230000</v>
          </cell>
          <cell r="R901">
            <v>1684230000</v>
          </cell>
          <cell r="S901">
            <v>1265302000</v>
          </cell>
          <cell r="U901">
            <v>1265302000</v>
          </cell>
          <cell r="V901">
            <v>45432000</v>
          </cell>
          <cell r="X901">
            <v>45432000</v>
          </cell>
          <cell r="Y901">
            <v>439386000</v>
          </cell>
          <cell r="Z901">
            <v>34288200000</v>
          </cell>
          <cell r="AA901">
            <v>34727586000</v>
          </cell>
          <cell r="AK901">
            <v>14628025</v>
          </cell>
          <cell r="AL901">
            <v>1384650</v>
          </cell>
        </row>
        <row r="902">
          <cell r="B902">
            <v>44769</v>
          </cell>
          <cell r="C902">
            <v>18959530000</v>
          </cell>
          <cell r="F902">
            <v>6302510000</v>
          </cell>
          <cell r="G902">
            <v>25262040000</v>
          </cell>
          <cell r="H902">
            <v>6820751</v>
          </cell>
          <cell r="I902">
            <v>88236000</v>
          </cell>
          <cell r="K902">
            <v>88236000</v>
          </cell>
          <cell r="M902">
            <v>781378000</v>
          </cell>
          <cell r="O902">
            <v>781378000</v>
          </cell>
          <cell r="P902">
            <v>111735000</v>
          </cell>
          <cell r="R902">
            <v>111735000</v>
          </cell>
          <cell r="S902">
            <v>710485000</v>
          </cell>
          <cell r="U902">
            <v>710485000</v>
          </cell>
          <cell r="V902">
            <v>24096000</v>
          </cell>
          <cell r="X902">
            <v>24096000</v>
          </cell>
          <cell r="Y902">
            <v>405610000</v>
          </cell>
          <cell r="AA902">
            <v>405610000</v>
          </cell>
          <cell r="AK902">
            <v>229126</v>
          </cell>
          <cell r="AL902">
            <v>18840</v>
          </cell>
        </row>
        <row r="903">
          <cell r="B903">
            <v>44770</v>
          </cell>
          <cell r="C903">
            <v>24003325000</v>
          </cell>
          <cell r="D903">
            <v>17055595000</v>
          </cell>
          <cell r="E903">
            <v>9134750000</v>
          </cell>
          <cell r="F903">
            <v>15389750000</v>
          </cell>
          <cell r="G903">
            <v>65583420000</v>
          </cell>
          <cell r="H903">
            <v>17707523</v>
          </cell>
          <cell r="I903">
            <v>501837000</v>
          </cell>
          <cell r="K903">
            <v>501837000</v>
          </cell>
          <cell r="M903">
            <v>4342499000</v>
          </cell>
          <cell r="O903">
            <v>4342499000</v>
          </cell>
          <cell r="P903">
            <v>341841000</v>
          </cell>
          <cell r="R903">
            <v>341841000</v>
          </cell>
          <cell r="S903">
            <v>937682000</v>
          </cell>
          <cell r="U903">
            <v>937682000</v>
          </cell>
          <cell r="V903">
            <v>68658000</v>
          </cell>
          <cell r="X903">
            <v>68658000</v>
          </cell>
          <cell r="Y903">
            <v>406618000</v>
          </cell>
          <cell r="AA903">
            <v>406618000</v>
          </cell>
          <cell r="AK903">
            <v>712707</v>
          </cell>
          <cell r="AL903">
            <v>188070</v>
          </cell>
        </row>
        <row r="904">
          <cell r="C904">
            <v>123000820000</v>
          </cell>
          <cell r="D904">
            <v>22406865000</v>
          </cell>
          <cell r="E904">
            <v>9134750000</v>
          </cell>
          <cell r="F904">
            <v>21692260000</v>
          </cell>
          <cell r="G904">
            <v>176234695000</v>
          </cell>
          <cell r="H904">
            <v>47583367</v>
          </cell>
          <cell r="I904">
            <v>32507805000</v>
          </cell>
          <cell r="J904">
            <v>39157200000</v>
          </cell>
          <cell r="K904">
            <v>71665005000</v>
          </cell>
          <cell r="L904">
            <v>0</v>
          </cell>
          <cell r="M904">
            <v>59345520000</v>
          </cell>
          <cell r="N904">
            <v>52837500000</v>
          </cell>
          <cell r="O904">
            <v>112183020000</v>
          </cell>
          <cell r="P904">
            <v>3172305000</v>
          </cell>
          <cell r="Q904">
            <v>0</v>
          </cell>
          <cell r="R904">
            <v>3172305000</v>
          </cell>
          <cell r="S904">
            <v>4662785000</v>
          </cell>
          <cell r="T904">
            <v>0</v>
          </cell>
          <cell r="U904">
            <v>4662785000</v>
          </cell>
          <cell r="V904">
            <v>368058000</v>
          </cell>
          <cell r="W904">
            <v>0</v>
          </cell>
          <cell r="X904">
            <v>368058000</v>
          </cell>
          <cell r="Y904">
            <v>2061648000</v>
          </cell>
          <cell r="Z904">
            <v>34288200000</v>
          </cell>
          <cell r="AA904">
            <v>36349848000</v>
          </cell>
          <cell r="AK904">
            <v>33759678</v>
          </cell>
          <cell r="AL904">
            <v>2436930</v>
          </cell>
        </row>
        <row r="905">
          <cell r="B905">
            <v>44771</v>
          </cell>
          <cell r="C905">
            <v>74926595000</v>
          </cell>
          <cell r="G905">
            <v>74926595000</v>
          </cell>
          <cell r="H905">
            <v>20230181</v>
          </cell>
          <cell r="I905">
            <v>9843282000</v>
          </cell>
          <cell r="K905">
            <v>9843282000</v>
          </cell>
          <cell r="M905">
            <v>3999741000</v>
          </cell>
          <cell r="O905">
            <v>3999741000</v>
          </cell>
          <cell r="P905">
            <v>2230199000</v>
          </cell>
          <cell r="R905">
            <v>2230199000</v>
          </cell>
          <cell r="S905">
            <v>1187781000</v>
          </cell>
          <cell r="U905">
            <v>1187781000</v>
          </cell>
          <cell r="V905">
            <v>178622000</v>
          </cell>
          <cell r="X905">
            <v>178622000</v>
          </cell>
          <cell r="Y905">
            <v>410362000</v>
          </cell>
          <cell r="AA905">
            <v>410362000</v>
          </cell>
          <cell r="AK905">
            <v>1927799</v>
          </cell>
          <cell r="AL905">
            <v>749880</v>
          </cell>
        </row>
        <row r="906">
          <cell r="B906">
            <v>44774</v>
          </cell>
          <cell r="C906">
            <v>43096165000</v>
          </cell>
          <cell r="G906">
            <v>43096165000</v>
          </cell>
          <cell r="H906">
            <v>11635965</v>
          </cell>
          <cell r="I906">
            <v>8124801000</v>
          </cell>
          <cell r="J906">
            <v>4198800000</v>
          </cell>
          <cell r="K906">
            <v>12323601000</v>
          </cell>
          <cell r="M906">
            <v>11828105000</v>
          </cell>
          <cell r="N906">
            <v>2606000000</v>
          </cell>
          <cell r="O906">
            <v>14434105000</v>
          </cell>
          <cell r="P906">
            <v>6929627000</v>
          </cell>
          <cell r="R906">
            <v>6929627000</v>
          </cell>
          <cell r="S906">
            <v>774774000</v>
          </cell>
          <cell r="U906">
            <v>774774000</v>
          </cell>
          <cell r="V906">
            <v>134033000</v>
          </cell>
          <cell r="X906">
            <v>134033000</v>
          </cell>
          <cell r="Y906">
            <v>417109000</v>
          </cell>
          <cell r="AA906">
            <v>417109000</v>
          </cell>
          <cell r="AK906">
            <v>4271376</v>
          </cell>
          <cell r="AL906">
            <v>597480</v>
          </cell>
        </row>
        <row r="907">
          <cell r="B907">
            <v>44775</v>
          </cell>
          <cell r="C907">
            <v>26309010000</v>
          </cell>
          <cell r="G907">
            <v>26309010000</v>
          </cell>
          <cell r="H907">
            <v>7103433</v>
          </cell>
          <cell r="I907">
            <v>22338102000</v>
          </cell>
          <cell r="J907">
            <v>31824800000</v>
          </cell>
          <cell r="K907">
            <v>54162902000</v>
          </cell>
          <cell r="M907">
            <v>10910492000</v>
          </cell>
          <cell r="N907">
            <v>21056500000</v>
          </cell>
          <cell r="O907">
            <v>31966992000</v>
          </cell>
          <cell r="P907">
            <v>306312000</v>
          </cell>
          <cell r="R907">
            <v>306312000</v>
          </cell>
          <cell r="S907">
            <v>992536000</v>
          </cell>
          <cell r="U907">
            <v>992536000</v>
          </cell>
          <cell r="V907">
            <v>138626000</v>
          </cell>
          <cell r="X907">
            <v>138626000</v>
          </cell>
          <cell r="Y907">
            <v>428370000</v>
          </cell>
          <cell r="AA907">
            <v>428370000</v>
          </cell>
          <cell r="AK907">
            <v>13310993</v>
          </cell>
          <cell r="AL907">
            <v>659370</v>
          </cell>
        </row>
        <row r="908">
          <cell r="B908">
            <v>44776</v>
          </cell>
          <cell r="C908">
            <v>4219945000</v>
          </cell>
          <cell r="G908">
            <v>4219945000</v>
          </cell>
          <cell r="H908">
            <v>1139385</v>
          </cell>
          <cell r="I908">
            <v>10863388000</v>
          </cell>
          <cell r="J908">
            <v>19149900000</v>
          </cell>
          <cell r="K908">
            <v>30013288000</v>
          </cell>
          <cell r="M908">
            <v>43303101000</v>
          </cell>
          <cell r="N908">
            <v>42934500000</v>
          </cell>
          <cell r="O908">
            <v>86237601000</v>
          </cell>
          <cell r="P908">
            <v>2146894000</v>
          </cell>
          <cell r="R908">
            <v>2146894000</v>
          </cell>
          <cell r="S908">
            <v>1028479000</v>
          </cell>
          <cell r="U908">
            <v>1028479000</v>
          </cell>
          <cell r="V908">
            <v>18655000</v>
          </cell>
          <cell r="X908">
            <v>18655000</v>
          </cell>
          <cell r="Y908">
            <v>412963000</v>
          </cell>
          <cell r="AA908">
            <v>412963000</v>
          </cell>
          <cell r="AK908">
            <v>17414728</v>
          </cell>
          <cell r="AL908">
            <v>670470</v>
          </cell>
        </row>
        <row r="909">
          <cell r="B909">
            <v>44777</v>
          </cell>
          <cell r="G909">
            <v>0</v>
          </cell>
          <cell r="H909">
            <v>0</v>
          </cell>
          <cell r="I909">
            <v>46958162000</v>
          </cell>
          <cell r="J909">
            <v>26823300000</v>
          </cell>
          <cell r="K909">
            <v>73781462000</v>
          </cell>
          <cell r="M909">
            <v>6564884000</v>
          </cell>
          <cell r="O909">
            <v>6564884000</v>
          </cell>
          <cell r="P909">
            <v>480574000</v>
          </cell>
          <cell r="R909">
            <v>480574000</v>
          </cell>
          <cell r="S909">
            <v>757094000</v>
          </cell>
          <cell r="U909">
            <v>757094000</v>
          </cell>
          <cell r="V909">
            <v>25072000</v>
          </cell>
          <cell r="X909">
            <v>25072000</v>
          </cell>
          <cell r="Y909">
            <v>472354000</v>
          </cell>
          <cell r="AA909">
            <v>472354000</v>
          </cell>
          <cell r="AK909">
            <v>10796073</v>
          </cell>
          <cell r="AL909">
            <v>584490</v>
          </cell>
        </row>
        <row r="910">
          <cell r="C910">
            <v>148551715000</v>
          </cell>
          <cell r="D910">
            <v>0</v>
          </cell>
          <cell r="E910">
            <v>0</v>
          </cell>
          <cell r="F910">
            <v>0</v>
          </cell>
          <cell r="G910">
            <v>148551715000</v>
          </cell>
          <cell r="H910">
            <v>40108964</v>
          </cell>
          <cell r="I910">
            <v>98127735000</v>
          </cell>
          <cell r="J910">
            <v>81996800000</v>
          </cell>
          <cell r="K910">
            <v>180124535000</v>
          </cell>
          <cell r="L910">
            <v>0</v>
          </cell>
          <cell r="M910">
            <v>76606323000</v>
          </cell>
          <cell r="N910">
            <v>66597000000</v>
          </cell>
          <cell r="O910">
            <v>143203323000</v>
          </cell>
          <cell r="P910">
            <v>12093606000</v>
          </cell>
          <cell r="Q910">
            <v>0</v>
          </cell>
          <cell r="R910">
            <v>12093606000</v>
          </cell>
          <cell r="S910">
            <v>4740664000</v>
          </cell>
          <cell r="T910">
            <v>0</v>
          </cell>
          <cell r="U910">
            <v>4740664000</v>
          </cell>
          <cell r="V910">
            <v>495008000</v>
          </cell>
          <cell r="W910">
            <v>0</v>
          </cell>
          <cell r="X910">
            <v>495008000</v>
          </cell>
          <cell r="Y910">
            <v>2141158000</v>
          </cell>
          <cell r="Z910">
            <v>0</v>
          </cell>
          <cell r="AA910">
            <v>2141158000</v>
          </cell>
          <cell r="AK910">
            <v>47720969</v>
          </cell>
          <cell r="AL910">
            <v>3261690</v>
          </cell>
        </row>
        <row r="911">
          <cell r="B911">
            <v>44778</v>
          </cell>
          <cell r="C911">
            <v>27687245000</v>
          </cell>
          <cell r="G911">
            <v>27687245000</v>
          </cell>
          <cell r="H911">
            <v>7475556</v>
          </cell>
          <cell r="I911">
            <v>38253909000</v>
          </cell>
          <cell r="J911">
            <v>10781750000</v>
          </cell>
          <cell r="K911">
            <v>49035659000</v>
          </cell>
          <cell r="M911">
            <v>10493170000</v>
          </cell>
          <cell r="N911">
            <v>3996450000</v>
          </cell>
          <cell r="O911">
            <v>14489620000</v>
          </cell>
          <cell r="P911">
            <v>4883657000</v>
          </cell>
          <cell r="Q911">
            <v>1753000000</v>
          </cell>
          <cell r="R911">
            <v>6636657000</v>
          </cell>
          <cell r="S911">
            <v>829340000</v>
          </cell>
          <cell r="U911">
            <v>829340000</v>
          </cell>
          <cell r="V911">
            <v>1563000</v>
          </cell>
          <cell r="X911">
            <v>1563000</v>
          </cell>
          <cell r="Y911">
            <v>439625000</v>
          </cell>
          <cell r="AA911">
            <v>439625000</v>
          </cell>
          <cell r="AK911">
            <v>8904953</v>
          </cell>
          <cell r="AL911">
            <v>910470</v>
          </cell>
        </row>
        <row r="912">
          <cell r="B912">
            <v>44781</v>
          </cell>
          <cell r="C912">
            <v>11332085000</v>
          </cell>
          <cell r="G912">
            <v>11332085000</v>
          </cell>
          <cell r="H912">
            <v>3059663</v>
          </cell>
          <cell r="I912">
            <v>13238224000</v>
          </cell>
          <cell r="J912">
            <v>7541050000</v>
          </cell>
          <cell r="K912">
            <v>20779274000</v>
          </cell>
          <cell r="M912">
            <v>3742990000</v>
          </cell>
          <cell r="O912">
            <v>3742990000</v>
          </cell>
          <cell r="P912">
            <v>92550000</v>
          </cell>
          <cell r="R912">
            <v>92550000</v>
          </cell>
          <cell r="S912">
            <v>885396000</v>
          </cell>
          <cell r="U912">
            <v>885396000</v>
          </cell>
          <cell r="V912">
            <v>119156000</v>
          </cell>
          <cell r="X912">
            <v>119156000</v>
          </cell>
          <cell r="Y912">
            <v>419316000</v>
          </cell>
          <cell r="AA912">
            <v>419316000</v>
          </cell>
          <cell r="AK912">
            <v>3355133</v>
          </cell>
          <cell r="AL912">
            <v>151200</v>
          </cell>
        </row>
        <row r="913">
          <cell r="B913">
            <v>44782</v>
          </cell>
          <cell r="C913">
            <v>24372145000</v>
          </cell>
          <cell r="D913">
            <v>21123075000</v>
          </cell>
          <cell r="G913">
            <v>45495220000</v>
          </cell>
          <cell r="H913">
            <v>12283709</v>
          </cell>
          <cell r="I913">
            <v>5747291000</v>
          </cell>
          <cell r="K913">
            <v>5747291000</v>
          </cell>
          <cell r="M913">
            <v>3139828000</v>
          </cell>
          <cell r="O913">
            <v>3139828000</v>
          </cell>
          <cell r="P913">
            <v>193292000</v>
          </cell>
          <cell r="R913">
            <v>193292000</v>
          </cell>
          <cell r="S913">
            <v>936729000</v>
          </cell>
          <cell r="U913">
            <v>936729000</v>
          </cell>
          <cell r="V913">
            <v>133205000</v>
          </cell>
          <cell r="X913">
            <v>133205000</v>
          </cell>
          <cell r="Y913">
            <v>438950000</v>
          </cell>
          <cell r="AA913">
            <v>438950000</v>
          </cell>
          <cell r="AK913">
            <v>1143644</v>
          </cell>
          <cell r="AL913">
            <v>48450</v>
          </cell>
        </row>
        <row r="914">
          <cell r="B914">
            <v>44783</v>
          </cell>
          <cell r="C914">
            <v>1261580000</v>
          </cell>
          <cell r="D914">
            <v>4424870000</v>
          </cell>
          <cell r="G914">
            <v>5686450000</v>
          </cell>
          <cell r="H914">
            <v>1535342</v>
          </cell>
          <cell r="I914">
            <v>1237893000</v>
          </cell>
          <cell r="J914">
            <v>6488500000</v>
          </cell>
          <cell r="K914">
            <v>7726393000</v>
          </cell>
          <cell r="M914">
            <v>12632888000</v>
          </cell>
          <cell r="N914">
            <v>18794000000</v>
          </cell>
          <cell r="O914">
            <v>31426888000</v>
          </cell>
          <cell r="P914">
            <v>866767000</v>
          </cell>
          <cell r="R914">
            <v>866767000</v>
          </cell>
          <cell r="S914">
            <v>2750723000</v>
          </cell>
          <cell r="U914">
            <v>2750723000</v>
          </cell>
          <cell r="V914">
            <v>96759000</v>
          </cell>
          <cell r="X914">
            <v>96759000</v>
          </cell>
          <cell r="Y914">
            <v>428952000</v>
          </cell>
          <cell r="AA914">
            <v>428952000</v>
          </cell>
          <cell r="AK914">
            <v>6496360</v>
          </cell>
          <cell r="AL914">
            <v>302070</v>
          </cell>
        </row>
        <row r="915">
          <cell r="B915">
            <v>44784</v>
          </cell>
          <cell r="C915">
            <v>38637285000</v>
          </cell>
          <cell r="D915">
            <v>1775930000</v>
          </cell>
          <cell r="G915">
            <v>40413215000</v>
          </cell>
          <cell r="H915">
            <v>10911568</v>
          </cell>
          <cell r="I915">
            <v>11410151000</v>
          </cell>
          <cell r="J915">
            <v>4317600000</v>
          </cell>
          <cell r="K915">
            <v>15727751000</v>
          </cell>
          <cell r="M915">
            <v>13350988000</v>
          </cell>
          <cell r="N915">
            <v>15986500000</v>
          </cell>
          <cell r="O915">
            <v>29337488000</v>
          </cell>
          <cell r="P915">
            <v>834266000</v>
          </cell>
          <cell r="R915">
            <v>834266000</v>
          </cell>
          <cell r="S915">
            <v>1034132000</v>
          </cell>
          <cell r="U915">
            <v>1034132000</v>
          </cell>
          <cell r="V915">
            <v>52676000</v>
          </cell>
          <cell r="X915">
            <v>52676000</v>
          </cell>
          <cell r="Y915">
            <v>449271000</v>
          </cell>
          <cell r="AA915">
            <v>449271000</v>
          </cell>
          <cell r="AK915">
            <v>6584938</v>
          </cell>
          <cell r="AL915">
            <v>291600</v>
          </cell>
        </row>
        <row r="916">
          <cell r="C916">
            <v>103290340000</v>
          </cell>
          <cell r="D916">
            <v>27323875000</v>
          </cell>
          <cell r="E916">
            <v>0</v>
          </cell>
          <cell r="F916">
            <v>0</v>
          </cell>
          <cell r="G916">
            <v>130614215000</v>
          </cell>
          <cell r="H916">
            <v>35265838</v>
          </cell>
          <cell r="I916">
            <v>69887468000</v>
          </cell>
          <cell r="J916">
            <v>29128900000</v>
          </cell>
          <cell r="K916">
            <v>99016368000</v>
          </cell>
          <cell r="L916">
            <v>0</v>
          </cell>
          <cell r="M916">
            <v>43359864000</v>
          </cell>
          <cell r="N916">
            <v>38776950000</v>
          </cell>
          <cell r="O916">
            <v>82136814000</v>
          </cell>
          <cell r="P916">
            <v>6870532000</v>
          </cell>
          <cell r="Q916">
            <v>1753000000</v>
          </cell>
          <cell r="R916">
            <v>8623532000</v>
          </cell>
          <cell r="S916">
            <v>6436320000</v>
          </cell>
          <cell r="T916">
            <v>0</v>
          </cell>
          <cell r="U916">
            <v>6436320000</v>
          </cell>
          <cell r="V916">
            <v>403359000</v>
          </cell>
          <cell r="W916">
            <v>0</v>
          </cell>
          <cell r="X916">
            <v>403359000</v>
          </cell>
          <cell r="Y916">
            <v>2176114000</v>
          </cell>
          <cell r="Z916">
            <v>0</v>
          </cell>
          <cell r="AA916">
            <v>2176114000</v>
          </cell>
          <cell r="AK916">
            <v>26485028</v>
          </cell>
          <cell r="AL916">
            <v>1703790</v>
          </cell>
        </row>
        <row r="917">
          <cell r="B917">
            <v>44785</v>
          </cell>
          <cell r="C917">
            <v>16401045000</v>
          </cell>
          <cell r="G917">
            <v>16401045000</v>
          </cell>
          <cell r="H917">
            <v>4428282</v>
          </cell>
          <cell r="I917">
            <v>193962000</v>
          </cell>
          <cell r="K917">
            <v>193962000</v>
          </cell>
          <cell r="M917">
            <v>8167502000</v>
          </cell>
          <cell r="O917">
            <v>8167502000</v>
          </cell>
          <cell r="P917">
            <v>756435000</v>
          </cell>
          <cell r="R917">
            <v>756435000</v>
          </cell>
          <cell r="S917">
            <v>829408000</v>
          </cell>
          <cell r="U917">
            <v>829408000</v>
          </cell>
          <cell r="V917">
            <v>365226000</v>
          </cell>
          <cell r="X917">
            <v>365226000</v>
          </cell>
          <cell r="Y917">
            <v>431060000</v>
          </cell>
          <cell r="AA917">
            <v>431060000</v>
          </cell>
          <cell r="AK917">
            <v>1160308</v>
          </cell>
          <cell r="AL917">
            <v>133560</v>
          </cell>
        </row>
        <row r="918">
          <cell r="B918">
            <v>44788</v>
          </cell>
          <cell r="C918">
            <v>24178650000</v>
          </cell>
          <cell r="G918">
            <v>24178650000</v>
          </cell>
          <cell r="H918">
            <v>6528236</v>
          </cell>
          <cell r="I918">
            <v>291259000</v>
          </cell>
          <cell r="K918">
            <v>291259000</v>
          </cell>
          <cell r="M918">
            <v>3153267000</v>
          </cell>
          <cell r="O918">
            <v>3153267000</v>
          </cell>
          <cell r="P918">
            <v>1993080000</v>
          </cell>
          <cell r="R918">
            <v>1993080000</v>
          </cell>
          <cell r="S918">
            <v>833721000</v>
          </cell>
          <cell r="U918">
            <v>833721000</v>
          </cell>
          <cell r="V918">
            <v>102578000</v>
          </cell>
          <cell r="X918">
            <v>102578000</v>
          </cell>
          <cell r="Y918">
            <v>446554000</v>
          </cell>
          <cell r="AA918">
            <v>446554000</v>
          </cell>
          <cell r="AK918">
            <v>736610</v>
          </cell>
          <cell r="AL918">
            <v>43380</v>
          </cell>
        </row>
        <row r="919">
          <cell r="B919">
            <v>44789</v>
          </cell>
          <cell r="C919">
            <v>57350800000</v>
          </cell>
          <cell r="G919">
            <v>57350800000</v>
          </cell>
          <cell r="H919">
            <v>15484716</v>
          </cell>
          <cell r="I919">
            <v>0</v>
          </cell>
          <cell r="J919">
            <v>2192000000</v>
          </cell>
          <cell r="K919">
            <v>2192000000</v>
          </cell>
          <cell r="M919">
            <v>6135957000</v>
          </cell>
          <cell r="O919">
            <v>6135957000</v>
          </cell>
          <cell r="P919">
            <v>998769000</v>
          </cell>
          <cell r="R919">
            <v>998769000</v>
          </cell>
          <cell r="S919">
            <v>1295982000</v>
          </cell>
          <cell r="U919">
            <v>1295982000</v>
          </cell>
          <cell r="V919">
            <v>40151000</v>
          </cell>
          <cell r="X919">
            <v>40151000</v>
          </cell>
          <cell r="Y919">
            <v>502108000</v>
          </cell>
          <cell r="AA919">
            <v>502108000</v>
          </cell>
          <cell r="AK919">
            <v>1363640</v>
          </cell>
          <cell r="AL919">
            <v>209940</v>
          </cell>
        </row>
        <row r="920">
          <cell r="B920">
            <v>44790</v>
          </cell>
          <cell r="C920">
            <v>51938347000</v>
          </cell>
          <cell r="G920">
            <v>51938347000</v>
          </cell>
          <cell r="H920">
            <v>14023354</v>
          </cell>
          <cell r="I920">
            <v>67985000</v>
          </cell>
          <cell r="K920">
            <v>67985000</v>
          </cell>
          <cell r="M920">
            <v>8459733000</v>
          </cell>
          <cell r="O920">
            <v>8459733000</v>
          </cell>
          <cell r="P920">
            <v>3001365000</v>
          </cell>
          <cell r="R920">
            <v>3001365000</v>
          </cell>
          <cell r="S920">
            <v>896617000</v>
          </cell>
          <cell r="U920">
            <v>896617000</v>
          </cell>
          <cell r="V920">
            <v>513045000</v>
          </cell>
          <cell r="X920">
            <v>513045000</v>
          </cell>
          <cell r="Y920">
            <v>456213000</v>
          </cell>
          <cell r="Z920">
            <v>39950000000</v>
          </cell>
          <cell r="AA920">
            <v>40406213000</v>
          </cell>
          <cell r="AK920">
            <v>8637655</v>
          </cell>
          <cell r="AL920">
            <v>1489080</v>
          </cell>
        </row>
        <row r="921">
          <cell r="B921">
            <v>44791</v>
          </cell>
          <cell r="C921">
            <v>83855054000</v>
          </cell>
          <cell r="D921">
            <v>12719315000</v>
          </cell>
          <cell r="G921">
            <v>96574369000</v>
          </cell>
          <cell r="H921">
            <v>26075080</v>
          </cell>
          <cell r="I921">
            <v>4861568000</v>
          </cell>
          <cell r="K921">
            <v>4861568000</v>
          </cell>
          <cell r="M921">
            <v>10287352000</v>
          </cell>
          <cell r="N921">
            <v>10843000000</v>
          </cell>
          <cell r="O921">
            <v>21130352000</v>
          </cell>
          <cell r="P921">
            <v>2498912000</v>
          </cell>
          <cell r="R921">
            <v>2498912000</v>
          </cell>
          <cell r="S921">
            <v>1117017000</v>
          </cell>
          <cell r="U921">
            <v>1117017000</v>
          </cell>
          <cell r="V921">
            <v>41842000</v>
          </cell>
          <cell r="X921">
            <v>41842000</v>
          </cell>
          <cell r="Y921">
            <v>444552000</v>
          </cell>
          <cell r="AA921">
            <v>444552000</v>
          </cell>
          <cell r="AK921">
            <v>4030874</v>
          </cell>
          <cell r="AL921">
            <v>667740</v>
          </cell>
        </row>
        <row r="922">
          <cell r="C922">
            <v>233723896000</v>
          </cell>
          <cell r="D922">
            <v>12719315000</v>
          </cell>
          <cell r="E922">
            <v>0</v>
          </cell>
          <cell r="F922">
            <v>0</v>
          </cell>
          <cell r="G922">
            <v>246443211000</v>
          </cell>
          <cell r="H922">
            <v>66539668</v>
          </cell>
          <cell r="I922">
            <v>5414774000</v>
          </cell>
          <cell r="J922">
            <v>2192000000</v>
          </cell>
          <cell r="K922">
            <v>7606774000</v>
          </cell>
          <cell r="L922">
            <v>0</v>
          </cell>
          <cell r="M922">
            <v>36203811000</v>
          </cell>
          <cell r="N922">
            <v>10843000000</v>
          </cell>
          <cell r="O922">
            <v>47046811000</v>
          </cell>
          <cell r="P922">
            <v>9248561000</v>
          </cell>
          <cell r="Q922">
            <v>0</v>
          </cell>
          <cell r="R922">
            <v>9248561000</v>
          </cell>
          <cell r="S922">
            <v>4972745000</v>
          </cell>
          <cell r="T922">
            <v>0</v>
          </cell>
          <cell r="U922">
            <v>4972745000</v>
          </cell>
          <cell r="V922">
            <v>1062842000</v>
          </cell>
          <cell r="W922">
            <v>0</v>
          </cell>
          <cell r="X922">
            <v>1062842000</v>
          </cell>
          <cell r="Y922">
            <v>2280487000</v>
          </cell>
          <cell r="Z922">
            <v>39950000000</v>
          </cell>
          <cell r="AA922">
            <v>42230487000</v>
          </cell>
          <cell r="AK922">
            <v>15929087</v>
          </cell>
          <cell r="AL922">
            <v>2543700</v>
          </cell>
        </row>
        <row r="923">
          <cell r="B923">
            <v>44792</v>
          </cell>
          <cell r="C923">
            <v>12722765000</v>
          </cell>
          <cell r="F923">
            <v>13685755000</v>
          </cell>
          <cell r="G923">
            <v>26408520000</v>
          </cell>
          <cell r="H923">
            <v>7130300</v>
          </cell>
          <cell r="I923">
            <v>299098000</v>
          </cell>
          <cell r="J923">
            <v>92094000000</v>
          </cell>
          <cell r="K923">
            <v>92393098000</v>
          </cell>
          <cell r="M923">
            <v>6429478000</v>
          </cell>
          <cell r="O923">
            <v>6429478000</v>
          </cell>
          <cell r="P923">
            <v>2980939000</v>
          </cell>
          <cell r="R923">
            <v>2980939000</v>
          </cell>
          <cell r="S923">
            <v>1018857000</v>
          </cell>
          <cell r="U923">
            <v>1018857000</v>
          </cell>
          <cell r="V923">
            <v>169587000</v>
          </cell>
          <cell r="X923">
            <v>169587000</v>
          </cell>
          <cell r="Y923">
            <v>449398000</v>
          </cell>
          <cell r="AA923">
            <v>449398000</v>
          </cell>
          <cell r="AK923">
            <v>17802435</v>
          </cell>
          <cell r="AL923">
            <v>218460</v>
          </cell>
        </row>
        <row r="924">
          <cell r="B924">
            <v>44795</v>
          </cell>
          <cell r="C924">
            <v>33320190000</v>
          </cell>
          <cell r="G924">
            <v>33320190000</v>
          </cell>
          <cell r="H924">
            <v>8996451</v>
          </cell>
          <cell r="I924">
            <v>6853460000</v>
          </cell>
          <cell r="K924">
            <v>6853460000</v>
          </cell>
          <cell r="M924">
            <v>15227163000</v>
          </cell>
          <cell r="O924">
            <v>15227163000</v>
          </cell>
          <cell r="P924">
            <v>2168784000</v>
          </cell>
          <cell r="R924">
            <v>2168784000</v>
          </cell>
          <cell r="S924">
            <v>1437200000</v>
          </cell>
          <cell r="U924">
            <v>1437200000</v>
          </cell>
          <cell r="V924">
            <v>25426000</v>
          </cell>
          <cell r="X924">
            <v>25426000</v>
          </cell>
          <cell r="Y924">
            <v>439001000</v>
          </cell>
          <cell r="AA924">
            <v>439001000</v>
          </cell>
          <cell r="AK924">
            <v>2824312</v>
          </cell>
          <cell r="AL924">
            <v>450990</v>
          </cell>
        </row>
        <row r="925">
          <cell r="B925">
            <v>44796</v>
          </cell>
          <cell r="C925">
            <v>24944405000</v>
          </cell>
          <cell r="G925">
            <v>24944405000</v>
          </cell>
          <cell r="H925">
            <v>6734989</v>
          </cell>
          <cell r="I925">
            <v>998260000</v>
          </cell>
          <cell r="J925">
            <v>4326800000</v>
          </cell>
          <cell r="K925">
            <v>5325060000</v>
          </cell>
          <cell r="M925">
            <v>21298688000</v>
          </cell>
          <cell r="N925">
            <v>9446000000</v>
          </cell>
          <cell r="O925">
            <v>30744688000</v>
          </cell>
          <cell r="P925">
            <v>3938440000</v>
          </cell>
          <cell r="R925">
            <v>3938440000</v>
          </cell>
          <cell r="S925">
            <v>1050496000</v>
          </cell>
          <cell r="U925">
            <v>1050496000</v>
          </cell>
          <cell r="V925">
            <v>347522000</v>
          </cell>
          <cell r="X925">
            <v>347522000</v>
          </cell>
          <cell r="Y925">
            <v>415500000</v>
          </cell>
          <cell r="AA925">
            <v>415500000</v>
          </cell>
          <cell r="AK925">
            <v>5508386</v>
          </cell>
          <cell r="AL925">
            <v>369420</v>
          </cell>
        </row>
        <row r="926">
          <cell r="B926">
            <v>44797</v>
          </cell>
          <cell r="C926">
            <v>30738355000</v>
          </cell>
          <cell r="D926">
            <v>34630120000</v>
          </cell>
          <cell r="E926">
            <v>4791435000</v>
          </cell>
          <cell r="G926">
            <v>70159910000</v>
          </cell>
          <cell r="H926">
            <v>18943176</v>
          </cell>
          <cell r="I926">
            <v>3993536000</v>
          </cell>
          <cell r="J926">
            <v>9883750000</v>
          </cell>
          <cell r="K926">
            <v>13877286000</v>
          </cell>
          <cell r="M926">
            <v>10382788000</v>
          </cell>
          <cell r="N926">
            <v>10927500000</v>
          </cell>
          <cell r="O926">
            <v>21310288000</v>
          </cell>
          <cell r="P926">
            <v>1399584000</v>
          </cell>
          <cell r="R926">
            <v>1399584000</v>
          </cell>
          <cell r="S926">
            <v>1156483000</v>
          </cell>
          <cell r="U926">
            <v>1156483000</v>
          </cell>
          <cell r="V926">
            <v>23922000</v>
          </cell>
          <cell r="X926">
            <v>23922000</v>
          </cell>
          <cell r="Y926">
            <v>437720000</v>
          </cell>
          <cell r="AA926">
            <v>437720000</v>
          </cell>
          <cell r="AK926">
            <v>5624581</v>
          </cell>
          <cell r="AL926">
            <v>328440</v>
          </cell>
        </row>
        <row r="927">
          <cell r="B927">
            <v>44798</v>
          </cell>
          <cell r="C927">
            <v>33081880000</v>
          </cell>
          <cell r="E927">
            <v>172280000</v>
          </cell>
          <cell r="G927">
            <v>33254160000</v>
          </cell>
          <cell r="H927">
            <v>8978623</v>
          </cell>
          <cell r="I927">
            <v>1116626000</v>
          </cell>
          <cell r="J927">
            <v>37690700000</v>
          </cell>
          <cell r="K927">
            <v>38807326000</v>
          </cell>
          <cell r="M927">
            <v>5456747000</v>
          </cell>
          <cell r="O927">
            <v>5456747000</v>
          </cell>
          <cell r="P927">
            <v>1088574000</v>
          </cell>
          <cell r="R927">
            <v>1088574000</v>
          </cell>
          <cell r="S927">
            <v>825217000</v>
          </cell>
          <cell r="U927">
            <v>825217000</v>
          </cell>
          <cell r="V927">
            <v>104680000</v>
          </cell>
          <cell r="X927">
            <v>104680000</v>
          </cell>
          <cell r="Y927">
            <v>447775000</v>
          </cell>
          <cell r="Z927">
            <v>48749100000</v>
          </cell>
          <cell r="AA927">
            <v>49196875000</v>
          </cell>
          <cell r="AK927">
            <v>16535443</v>
          </cell>
          <cell r="AL927">
            <v>1844250</v>
          </cell>
        </row>
        <row r="928">
          <cell r="C928">
            <v>134807595000</v>
          </cell>
          <cell r="D928">
            <v>34630120000</v>
          </cell>
          <cell r="E928">
            <v>4963715000</v>
          </cell>
          <cell r="F928">
            <v>13685755000</v>
          </cell>
          <cell r="G928">
            <v>188087185000</v>
          </cell>
          <cell r="H928">
            <v>50783539</v>
          </cell>
          <cell r="I928">
            <v>13260980000</v>
          </cell>
          <cell r="J928">
            <v>143995250000</v>
          </cell>
          <cell r="K928">
            <v>157256230000</v>
          </cell>
          <cell r="L928">
            <v>0</v>
          </cell>
          <cell r="M928">
            <v>58794864000</v>
          </cell>
          <cell r="N928">
            <v>20373500000</v>
          </cell>
          <cell r="O928">
            <v>79168364000</v>
          </cell>
          <cell r="P928">
            <v>11576321000</v>
          </cell>
          <cell r="Q928">
            <v>0</v>
          </cell>
          <cell r="R928">
            <v>11576321000</v>
          </cell>
          <cell r="S928">
            <v>5488253000</v>
          </cell>
          <cell r="T928">
            <v>0</v>
          </cell>
          <cell r="U928">
            <v>5488253000</v>
          </cell>
          <cell r="V928">
            <v>671137000</v>
          </cell>
          <cell r="W928">
            <v>0</v>
          </cell>
          <cell r="X928">
            <v>671137000</v>
          </cell>
          <cell r="Y928">
            <v>2189394000</v>
          </cell>
          <cell r="Z928">
            <v>48749100000</v>
          </cell>
          <cell r="AA928">
            <v>50938494000</v>
          </cell>
          <cell r="AK928">
            <v>48295157</v>
          </cell>
          <cell r="AL928">
            <v>3211560</v>
          </cell>
        </row>
        <row r="929">
          <cell r="B929">
            <v>44799</v>
          </cell>
          <cell r="C929">
            <v>4286345000</v>
          </cell>
          <cell r="G929">
            <v>4286345000</v>
          </cell>
          <cell r="H929">
            <v>1157313</v>
          </cell>
          <cell r="I929">
            <v>2823684000</v>
          </cell>
          <cell r="J929">
            <v>4434600000</v>
          </cell>
          <cell r="K929">
            <v>7258284000</v>
          </cell>
          <cell r="M929">
            <v>21513212000</v>
          </cell>
          <cell r="N929">
            <v>8386500000</v>
          </cell>
          <cell r="O929">
            <v>29899712000</v>
          </cell>
          <cell r="P929">
            <v>2175322000</v>
          </cell>
          <cell r="R929">
            <v>2175322000</v>
          </cell>
          <cell r="S929">
            <v>4681271000</v>
          </cell>
          <cell r="U929">
            <v>4681271000</v>
          </cell>
          <cell r="V929">
            <v>87447000</v>
          </cell>
          <cell r="X929">
            <v>87447000</v>
          </cell>
          <cell r="Y929">
            <v>439446000</v>
          </cell>
          <cell r="AA929">
            <v>439446000</v>
          </cell>
          <cell r="AK929">
            <v>5733599</v>
          </cell>
          <cell r="AL929">
            <v>479490</v>
          </cell>
        </row>
        <row r="930">
          <cell r="B930">
            <v>44802</v>
          </cell>
          <cell r="C930">
            <v>58688655000</v>
          </cell>
          <cell r="D930">
            <v>8694630000</v>
          </cell>
          <cell r="F930">
            <v>13757860000</v>
          </cell>
          <cell r="G930">
            <v>81141145000</v>
          </cell>
          <cell r="H930">
            <v>21908109</v>
          </cell>
          <cell r="I930">
            <v>5535162000</v>
          </cell>
          <cell r="J930">
            <v>6537600000</v>
          </cell>
          <cell r="K930">
            <v>12072762000</v>
          </cell>
          <cell r="M930">
            <v>10630187000</v>
          </cell>
          <cell r="O930">
            <v>10630187000</v>
          </cell>
          <cell r="P930">
            <v>800445000</v>
          </cell>
          <cell r="R930">
            <v>800445000</v>
          </cell>
          <cell r="S930">
            <v>782470000</v>
          </cell>
          <cell r="U930">
            <v>782470000</v>
          </cell>
          <cell r="V930">
            <v>146118000</v>
          </cell>
          <cell r="X930">
            <v>146118000</v>
          </cell>
          <cell r="Y930">
            <v>456305000</v>
          </cell>
          <cell r="AA930">
            <v>456305000</v>
          </cell>
          <cell r="AK930">
            <v>3158642</v>
          </cell>
          <cell r="AL930">
            <v>512760</v>
          </cell>
        </row>
        <row r="931">
          <cell r="B931">
            <v>44803</v>
          </cell>
          <cell r="C931">
            <v>30920142000</v>
          </cell>
          <cell r="G931">
            <v>30920142000</v>
          </cell>
          <cell r="H931">
            <v>8348438</v>
          </cell>
          <cell r="I931">
            <v>340754000</v>
          </cell>
          <cell r="K931">
            <v>340754000</v>
          </cell>
          <cell r="M931">
            <v>8611907000</v>
          </cell>
          <cell r="O931">
            <v>8611907000</v>
          </cell>
          <cell r="P931">
            <v>2163852000</v>
          </cell>
          <cell r="R931">
            <v>2163852000</v>
          </cell>
          <cell r="S931">
            <v>729965000</v>
          </cell>
          <cell r="U931">
            <v>729965000</v>
          </cell>
          <cell r="V931">
            <v>115452000</v>
          </cell>
          <cell r="X931">
            <v>115452000</v>
          </cell>
          <cell r="Y931">
            <v>627913000</v>
          </cell>
          <cell r="AA931">
            <v>627913000</v>
          </cell>
          <cell r="AK931">
            <v>1359703</v>
          </cell>
          <cell r="AL931">
            <v>247230</v>
          </cell>
        </row>
        <row r="932">
          <cell r="B932">
            <v>44804</v>
          </cell>
          <cell r="C932">
            <v>12399805000</v>
          </cell>
          <cell r="E932">
            <v>4979945000</v>
          </cell>
          <cell r="G932">
            <v>17379750000</v>
          </cell>
          <cell r="H932">
            <v>4692533</v>
          </cell>
          <cell r="I932">
            <v>6788609000</v>
          </cell>
          <cell r="J932">
            <v>13181200000</v>
          </cell>
          <cell r="K932">
            <v>19969809000</v>
          </cell>
          <cell r="M932">
            <v>14549067000</v>
          </cell>
          <cell r="N932">
            <v>16545000000</v>
          </cell>
          <cell r="O932">
            <v>31094067000</v>
          </cell>
          <cell r="P932">
            <v>1128768000</v>
          </cell>
          <cell r="R932">
            <v>1128768000</v>
          </cell>
          <cell r="S932">
            <v>195237000</v>
          </cell>
          <cell r="U932">
            <v>195237000</v>
          </cell>
          <cell r="V932">
            <v>32145000</v>
          </cell>
          <cell r="X932">
            <v>32145000</v>
          </cell>
          <cell r="Y932">
            <v>426253000</v>
          </cell>
          <cell r="AA932">
            <v>426253000</v>
          </cell>
          <cell r="AK932">
            <v>7847685</v>
          </cell>
          <cell r="AL932">
            <v>239970</v>
          </cell>
        </row>
        <row r="933">
          <cell r="C933">
            <v>106294947000</v>
          </cell>
          <cell r="D933">
            <v>8694630000</v>
          </cell>
          <cell r="E933">
            <v>4979945000</v>
          </cell>
          <cell r="F933">
            <v>13757860000</v>
          </cell>
          <cell r="G933">
            <v>133727382000</v>
          </cell>
          <cell r="H933">
            <v>36106393</v>
          </cell>
          <cell r="I933">
            <v>15488209000</v>
          </cell>
          <cell r="J933">
            <v>24153400000</v>
          </cell>
          <cell r="K933">
            <v>39641609000</v>
          </cell>
          <cell r="L933">
            <v>0</v>
          </cell>
          <cell r="M933">
            <v>55304373000</v>
          </cell>
          <cell r="N933">
            <v>24931500000</v>
          </cell>
          <cell r="O933">
            <v>80235873000</v>
          </cell>
          <cell r="P933">
            <v>6268387000</v>
          </cell>
          <cell r="Q933">
            <v>0</v>
          </cell>
          <cell r="R933">
            <v>6268387000</v>
          </cell>
          <cell r="S933">
            <v>6388943000</v>
          </cell>
          <cell r="T933">
            <v>0</v>
          </cell>
          <cell r="U933">
            <v>6388943000</v>
          </cell>
          <cell r="V933">
            <v>381162000</v>
          </cell>
          <cell r="W933">
            <v>0</v>
          </cell>
          <cell r="X933">
            <v>381162000</v>
          </cell>
          <cell r="Y933">
            <v>1949917000</v>
          </cell>
          <cell r="Z933">
            <v>0</v>
          </cell>
          <cell r="AA933">
            <v>1949917000</v>
          </cell>
          <cell r="AK933">
            <v>18099629</v>
          </cell>
          <cell r="AL933">
            <v>1479450</v>
          </cell>
        </row>
        <row r="934">
          <cell r="B934">
            <v>44809</v>
          </cell>
          <cell r="C934">
            <v>12701490000</v>
          </cell>
          <cell r="G934">
            <v>12701490000</v>
          </cell>
          <cell r="H934">
            <v>3429402</v>
          </cell>
          <cell r="I934">
            <v>15579720000</v>
          </cell>
          <cell r="J934">
            <v>4392800000</v>
          </cell>
          <cell r="K934">
            <v>19972520000</v>
          </cell>
          <cell r="M934">
            <v>16131706000</v>
          </cell>
          <cell r="O934">
            <v>16131706000</v>
          </cell>
          <cell r="P934">
            <v>691682000</v>
          </cell>
          <cell r="R934">
            <v>691682000</v>
          </cell>
          <cell r="S934">
            <v>1324384000</v>
          </cell>
          <cell r="U934">
            <v>1324384000</v>
          </cell>
          <cell r="V934">
            <v>201939000</v>
          </cell>
          <cell r="X934">
            <v>201939000</v>
          </cell>
          <cell r="Y934">
            <v>442207000</v>
          </cell>
          <cell r="AA934">
            <v>442207000</v>
          </cell>
          <cell r="AK934">
            <v>4502841</v>
          </cell>
          <cell r="AL934">
            <v>267240</v>
          </cell>
        </row>
        <row r="935">
          <cell r="B935">
            <v>44810</v>
          </cell>
          <cell r="C935">
            <v>7645475000</v>
          </cell>
          <cell r="G935">
            <v>7645475000</v>
          </cell>
          <cell r="H935">
            <v>2064278</v>
          </cell>
          <cell r="I935">
            <v>18493578000</v>
          </cell>
          <cell r="K935">
            <v>18493578000</v>
          </cell>
          <cell r="M935">
            <v>12795374000</v>
          </cell>
          <cell r="O935">
            <v>12795374000</v>
          </cell>
          <cell r="P935">
            <v>235777000</v>
          </cell>
          <cell r="R935">
            <v>235777000</v>
          </cell>
          <cell r="S935">
            <v>1055605000</v>
          </cell>
          <cell r="U935">
            <v>1055605000</v>
          </cell>
          <cell r="V935">
            <v>56657000</v>
          </cell>
          <cell r="X935">
            <v>56657000</v>
          </cell>
          <cell r="Y935">
            <v>788249000</v>
          </cell>
          <cell r="AA935">
            <v>788249000</v>
          </cell>
          <cell r="AK935">
            <v>3609926</v>
          </cell>
          <cell r="AL935">
            <v>98700</v>
          </cell>
        </row>
        <row r="936">
          <cell r="B936">
            <v>44811</v>
          </cell>
          <cell r="C936">
            <v>31218499000</v>
          </cell>
          <cell r="D936">
            <v>8149000000</v>
          </cell>
          <cell r="G936">
            <v>39367499000</v>
          </cell>
          <cell r="H936">
            <v>10629225</v>
          </cell>
          <cell r="I936">
            <v>2521413000</v>
          </cell>
          <cell r="K936">
            <v>2521413000</v>
          </cell>
          <cell r="M936">
            <v>12001735000</v>
          </cell>
          <cell r="O936">
            <v>12001735000</v>
          </cell>
          <cell r="P936">
            <v>492110000</v>
          </cell>
          <cell r="R936">
            <v>492110000</v>
          </cell>
          <cell r="S936">
            <v>4086703000</v>
          </cell>
          <cell r="U936">
            <v>4086703000</v>
          </cell>
          <cell r="V936">
            <v>72171000</v>
          </cell>
          <cell r="X936">
            <v>72171000</v>
          </cell>
          <cell r="Y936">
            <v>429353000</v>
          </cell>
          <cell r="AA936">
            <v>429353000</v>
          </cell>
          <cell r="AK936">
            <v>2117176</v>
          </cell>
          <cell r="AL936">
            <v>265140</v>
          </cell>
        </row>
        <row r="937">
          <cell r="B937">
            <v>44812</v>
          </cell>
          <cell r="C937">
            <v>32006730000</v>
          </cell>
          <cell r="G937">
            <v>32006730000</v>
          </cell>
          <cell r="H937">
            <v>8641817</v>
          </cell>
          <cell r="I937">
            <v>1846732000</v>
          </cell>
          <cell r="K937">
            <v>1846732000</v>
          </cell>
          <cell r="M937">
            <v>12933878000</v>
          </cell>
          <cell r="N937">
            <v>10718000000</v>
          </cell>
          <cell r="O937">
            <v>23651878000</v>
          </cell>
          <cell r="P937">
            <v>6296160000</v>
          </cell>
          <cell r="R937">
            <v>6296160000</v>
          </cell>
          <cell r="S937">
            <v>1239507000</v>
          </cell>
          <cell r="U937">
            <v>1239507000</v>
          </cell>
          <cell r="V937">
            <v>81149000</v>
          </cell>
          <cell r="X937">
            <v>81149000</v>
          </cell>
          <cell r="Y937">
            <v>415500000</v>
          </cell>
          <cell r="AA937">
            <v>415500000</v>
          </cell>
          <cell r="AK937">
            <v>4393036</v>
          </cell>
          <cell r="AL937">
            <v>268800</v>
          </cell>
        </row>
        <row r="938">
          <cell r="C938">
            <v>83572194000</v>
          </cell>
          <cell r="D938">
            <v>8149000000</v>
          </cell>
          <cell r="E938">
            <v>0</v>
          </cell>
          <cell r="F938">
            <v>0</v>
          </cell>
          <cell r="G938">
            <v>91721194000</v>
          </cell>
          <cell r="H938">
            <v>24764722</v>
          </cell>
          <cell r="I938">
            <v>38441443000</v>
          </cell>
          <cell r="J938">
            <v>4392800000</v>
          </cell>
          <cell r="K938">
            <v>42834243000</v>
          </cell>
          <cell r="L938">
            <v>0</v>
          </cell>
          <cell r="M938">
            <v>53862693000</v>
          </cell>
          <cell r="N938">
            <v>10718000000</v>
          </cell>
          <cell r="O938">
            <v>64580693000</v>
          </cell>
          <cell r="P938">
            <v>7715729000</v>
          </cell>
          <cell r="Q938">
            <v>0</v>
          </cell>
          <cell r="R938">
            <v>7715729000</v>
          </cell>
          <cell r="S938">
            <v>7706199000</v>
          </cell>
          <cell r="T938">
            <v>0</v>
          </cell>
          <cell r="U938">
            <v>7706199000</v>
          </cell>
          <cell r="V938">
            <v>411916000</v>
          </cell>
          <cell r="W938">
            <v>0</v>
          </cell>
          <cell r="X938">
            <v>411916000</v>
          </cell>
          <cell r="Y938">
            <v>2075309000</v>
          </cell>
          <cell r="Z938">
            <v>0</v>
          </cell>
          <cell r="AA938">
            <v>2075309000</v>
          </cell>
          <cell r="AK938">
            <v>14622979</v>
          </cell>
          <cell r="AL938">
            <v>899880</v>
          </cell>
        </row>
        <row r="939">
          <cell r="B939">
            <v>44813</v>
          </cell>
          <cell r="C939">
            <v>48147215000</v>
          </cell>
          <cell r="G939">
            <v>48147215000</v>
          </cell>
          <cell r="H939">
            <v>12999748</v>
          </cell>
          <cell r="I939">
            <v>23621000</v>
          </cell>
          <cell r="J939">
            <v>8608300000</v>
          </cell>
          <cell r="K939">
            <v>8631921000</v>
          </cell>
          <cell r="M939">
            <v>10707000</v>
          </cell>
          <cell r="N939">
            <v>12051250000</v>
          </cell>
          <cell r="O939">
            <v>12061957000</v>
          </cell>
          <cell r="P939">
            <v>1562127000</v>
          </cell>
          <cell r="R939">
            <v>1562127000</v>
          </cell>
          <cell r="S939">
            <v>1046371000</v>
          </cell>
          <cell r="U939">
            <v>1046371000</v>
          </cell>
          <cell r="V939">
            <v>208388000</v>
          </cell>
          <cell r="X939">
            <v>208388000</v>
          </cell>
          <cell r="Y939">
            <v>607410000</v>
          </cell>
          <cell r="AA939">
            <v>607410000</v>
          </cell>
          <cell r="AK939">
            <v>4092250</v>
          </cell>
          <cell r="AL939">
            <v>307320</v>
          </cell>
        </row>
        <row r="940">
          <cell r="B940">
            <v>44816</v>
          </cell>
          <cell r="C940">
            <v>21544725000</v>
          </cell>
          <cell r="E940">
            <v>5021345000</v>
          </cell>
          <cell r="F940">
            <v>2688715000</v>
          </cell>
          <cell r="G940">
            <v>29254785000</v>
          </cell>
          <cell r="H940">
            <v>7898792</v>
          </cell>
          <cell r="I940">
            <v>2670394000</v>
          </cell>
          <cell r="K940">
            <v>2670394000</v>
          </cell>
          <cell r="M940">
            <v>4586079000</v>
          </cell>
          <cell r="N940">
            <v>5409000000</v>
          </cell>
          <cell r="O940">
            <v>9995079000</v>
          </cell>
          <cell r="P940">
            <v>2429144000</v>
          </cell>
          <cell r="R940">
            <v>2429144000</v>
          </cell>
          <cell r="S940">
            <v>2081052000</v>
          </cell>
          <cell r="U940">
            <v>2081052000</v>
          </cell>
          <cell r="V940">
            <v>84778000</v>
          </cell>
          <cell r="X940">
            <v>84778000</v>
          </cell>
          <cell r="Y940">
            <v>419335000</v>
          </cell>
          <cell r="AA940">
            <v>419335000</v>
          </cell>
          <cell r="AK940">
            <v>2298864</v>
          </cell>
          <cell r="AL940">
            <v>247770</v>
          </cell>
        </row>
        <row r="941">
          <cell r="B941">
            <v>44817</v>
          </cell>
          <cell r="C941">
            <v>59385755000</v>
          </cell>
          <cell r="G941">
            <v>59385755000</v>
          </cell>
          <cell r="H941">
            <v>16034154</v>
          </cell>
          <cell r="I941">
            <v>9088426000</v>
          </cell>
          <cell r="K941">
            <v>9088426000</v>
          </cell>
          <cell r="M941">
            <v>3174819000</v>
          </cell>
          <cell r="O941">
            <v>3174819000</v>
          </cell>
          <cell r="P941">
            <v>1728640000</v>
          </cell>
          <cell r="R941">
            <v>1728640000</v>
          </cell>
          <cell r="S941">
            <v>919671000</v>
          </cell>
          <cell r="U941">
            <v>919671000</v>
          </cell>
          <cell r="V941">
            <v>33445000</v>
          </cell>
          <cell r="X941">
            <v>33445000</v>
          </cell>
          <cell r="Y941">
            <v>467905000</v>
          </cell>
          <cell r="Z941">
            <v>10859400000</v>
          </cell>
          <cell r="AA941">
            <v>11327305000</v>
          </cell>
          <cell r="AK941">
            <v>3619286</v>
          </cell>
          <cell r="AL941">
            <v>414930</v>
          </cell>
        </row>
        <row r="942">
          <cell r="B942">
            <v>44818</v>
          </cell>
          <cell r="C942">
            <v>43809155000</v>
          </cell>
          <cell r="G942">
            <v>43809155000</v>
          </cell>
          <cell r="H942">
            <v>11828472</v>
          </cell>
          <cell r="I942">
            <v>76930000</v>
          </cell>
          <cell r="K942">
            <v>76930000</v>
          </cell>
          <cell r="M942">
            <v>5727886000</v>
          </cell>
          <cell r="N942">
            <v>2689500000</v>
          </cell>
          <cell r="O942">
            <v>8417386000</v>
          </cell>
          <cell r="P942">
            <v>1345887000</v>
          </cell>
          <cell r="R942">
            <v>1345887000</v>
          </cell>
          <cell r="S942">
            <v>976468000</v>
          </cell>
          <cell r="U942">
            <v>976468000</v>
          </cell>
          <cell r="V942">
            <v>73561000</v>
          </cell>
          <cell r="X942">
            <v>73561000</v>
          </cell>
          <cell r="Y942">
            <v>409500000</v>
          </cell>
          <cell r="AA942">
            <v>409500000</v>
          </cell>
          <cell r="AK942">
            <v>1414015</v>
          </cell>
          <cell r="AL942">
            <v>348360</v>
          </cell>
        </row>
        <row r="943">
          <cell r="B943">
            <v>44819</v>
          </cell>
          <cell r="C943">
            <v>100229105000</v>
          </cell>
          <cell r="F943">
            <v>6721615000</v>
          </cell>
          <cell r="G943">
            <v>106950720000</v>
          </cell>
          <cell r="H943">
            <v>28876694</v>
          </cell>
          <cell r="I943">
            <v>763892000</v>
          </cell>
          <cell r="K943">
            <v>763892000</v>
          </cell>
          <cell r="M943">
            <v>1786187000</v>
          </cell>
          <cell r="N943">
            <v>8076000000</v>
          </cell>
          <cell r="O943">
            <v>9862187000</v>
          </cell>
          <cell r="P943">
            <v>402104000</v>
          </cell>
          <cell r="R943">
            <v>402104000</v>
          </cell>
          <cell r="S943">
            <v>703376000</v>
          </cell>
          <cell r="U943">
            <v>703376000</v>
          </cell>
          <cell r="V943">
            <v>17301000</v>
          </cell>
          <cell r="X943">
            <v>17301000</v>
          </cell>
          <cell r="Y943">
            <v>413827000</v>
          </cell>
          <cell r="AA943">
            <v>413827000</v>
          </cell>
          <cell r="AK943">
            <v>1895042</v>
          </cell>
          <cell r="AL943">
            <v>363690</v>
          </cell>
        </row>
        <row r="944">
          <cell r="C944">
            <v>273115955000</v>
          </cell>
          <cell r="D944">
            <v>0</v>
          </cell>
          <cell r="E944">
            <v>5021345000</v>
          </cell>
          <cell r="F944">
            <v>9410330000</v>
          </cell>
          <cell r="G944">
            <v>287547630000</v>
          </cell>
          <cell r="H944">
            <v>77637860</v>
          </cell>
          <cell r="I944">
            <v>12623263000</v>
          </cell>
          <cell r="J944">
            <v>8608300000</v>
          </cell>
          <cell r="K944">
            <v>21231563000</v>
          </cell>
          <cell r="L944">
            <v>0</v>
          </cell>
          <cell r="M944">
            <v>15285678000</v>
          </cell>
          <cell r="N944">
            <v>28225750000</v>
          </cell>
          <cell r="O944">
            <v>43511428000</v>
          </cell>
          <cell r="P944">
            <v>7467902000</v>
          </cell>
          <cell r="Q944">
            <v>0</v>
          </cell>
          <cell r="R944">
            <v>7467902000</v>
          </cell>
          <cell r="S944">
            <v>5726938000</v>
          </cell>
          <cell r="T944">
            <v>0</v>
          </cell>
          <cell r="U944">
            <v>5726938000</v>
          </cell>
          <cell r="V944">
            <v>417473000</v>
          </cell>
          <cell r="W944">
            <v>0</v>
          </cell>
          <cell r="X944">
            <v>417473000</v>
          </cell>
          <cell r="Y944">
            <v>2317977000</v>
          </cell>
          <cell r="Z944">
            <v>10859400000</v>
          </cell>
          <cell r="AA944">
            <v>13177377000</v>
          </cell>
          <cell r="AK944">
            <v>13319457</v>
          </cell>
          <cell r="AL944">
            <v>1682070</v>
          </cell>
        </row>
        <row r="945">
          <cell r="B945">
            <v>44820</v>
          </cell>
          <cell r="C945">
            <v>56975340000</v>
          </cell>
          <cell r="G945">
            <v>56975340000</v>
          </cell>
          <cell r="H945">
            <v>15383343</v>
          </cell>
          <cell r="I945">
            <v>5138116000</v>
          </cell>
          <cell r="K945">
            <v>5138116000</v>
          </cell>
          <cell r="M945">
            <v>9489996000</v>
          </cell>
          <cell r="N945">
            <v>2689500000</v>
          </cell>
          <cell r="O945">
            <v>12179496000</v>
          </cell>
          <cell r="P945">
            <v>332251000</v>
          </cell>
          <cell r="R945">
            <v>332251000</v>
          </cell>
          <cell r="S945">
            <v>1022142000</v>
          </cell>
          <cell r="U945">
            <v>1022142000</v>
          </cell>
          <cell r="V945">
            <v>341794000</v>
          </cell>
          <cell r="X945">
            <v>341794000</v>
          </cell>
          <cell r="Y945">
            <v>420019000</v>
          </cell>
          <cell r="AA945">
            <v>420019000</v>
          </cell>
          <cell r="AK945">
            <v>2292496</v>
          </cell>
          <cell r="AL945">
            <v>1841300</v>
          </cell>
        </row>
        <row r="946">
          <cell r="B946">
            <v>44823</v>
          </cell>
          <cell r="C946">
            <v>74276213000</v>
          </cell>
          <cell r="G946">
            <v>74276213000</v>
          </cell>
          <cell r="H946">
            <v>20054578</v>
          </cell>
          <cell r="I946">
            <v>9232652000</v>
          </cell>
          <cell r="J946">
            <v>2111300000</v>
          </cell>
          <cell r="K946">
            <v>11343952000</v>
          </cell>
          <cell r="M946">
            <v>1101871000</v>
          </cell>
          <cell r="N946">
            <v>13137000000</v>
          </cell>
          <cell r="O946">
            <v>14238871000</v>
          </cell>
          <cell r="P946">
            <v>1771499000</v>
          </cell>
          <cell r="R946">
            <v>1771499000</v>
          </cell>
          <cell r="S946">
            <v>1659758000</v>
          </cell>
          <cell r="U946">
            <v>1659758000</v>
          </cell>
          <cell r="V946">
            <v>256277000</v>
          </cell>
          <cell r="X946">
            <v>256277000</v>
          </cell>
          <cell r="Y946">
            <v>430429000</v>
          </cell>
          <cell r="AA946">
            <v>430429000</v>
          </cell>
          <cell r="AK946">
            <v>4305562</v>
          </cell>
          <cell r="AL946">
            <v>1632900</v>
          </cell>
        </row>
        <row r="947">
          <cell r="B947">
            <v>44824</v>
          </cell>
          <cell r="C947">
            <v>59829130000</v>
          </cell>
          <cell r="G947">
            <v>59829130000</v>
          </cell>
          <cell r="H947">
            <v>16153865</v>
          </cell>
          <cell r="I947">
            <v>888725000</v>
          </cell>
          <cell r="J947">
            <v>4175200000</v>
          </cell>
          <cell r="K947">
            <v>5063925000</v>
          </cell>
          <cell r="M947">
            <v>50291432000</v>
          </cell>
          <cell r="N947">
            <v>16946600000</v>
          </cell>
          <cell r="O947">
            <v>67238032000</v>
          </cell>
          <cell r="P947">
            <v>397430000</v>
          </cell>
          <cell r="R947">
            <v>397430000</v>
          </cell>
          <cell r="S947">
            <v>1351333000</v>
          </cell>
          <cell r="U947">
            <v>1351333000</v>
          </cell>
          <cell r="V947">
            <v>94881000</v>
          </cell>
          <cell r="X947">
            <v>94881000</v>
          </cell>
          <cell r="Y947">
            <v>405809000</v>
          </cell>
          <cell r="AA947">
            <v>405809000</v>
          </cell>
          <cell r="AK947">
            <v>9572322</v>
          </cell>
          <cell r="AL947">
            <v>1468100</v>
          </cell>
        </row>
        <row r="948">
          <cell r="B948">
            <v>44825</v>
          </cell>
          <cell r="C948">
            <v>40595220000</v>
          </cell>
          <cell r="F948">
            <v>6882920000</v>
          </cell>
          <cell r="G948">
            <v>47478140000</v>
          </cell>
          <cell r="H948">
            <v>12819098</v>
          </cell>
          <cell r="I948">
            <v>468339000</v>
          </cell>
          <cell r="J948">
            <v>2084300000</v>
          </cell>
          <cell r="K948">
            <v>2552639000</v>
          </cell>
          <cell r="M948">
            <v>7524650000</v>
          </cell>
          <cell r="N948">
            <v>11725000000</v>
          </cell>
          <cell r="O948">
            <v>19249650000</v>
          </cell>
          <cell r="P948">
            <v>752683000</v>
          </cell>
          <cell r="R948">
            <v>752683000</v>
          </cell>
          <cell r="S948">
            <v>989896000</v>
          </cell>
          <cell r="U948">
            <v>989896000</v>
          </cell>
          <cell r="V948">
            <v>33563000</v>
          </cell>
          <cell r="X948">
            <v>33563000</v>
          </cell>
          <cell r="Y948">
            <v>410755000</v>
          </cell>
          <cell r="AA948">
            <v>410755000</v>
          </cell>
          <cell r="AK948">
            <v>3585102</v>
          </cell>
          <cell r="AL948">
            <v>1735100</v>
          </cell>
        </row>
        <row r="949">
          <cell r="B949">
            <v>44826</v>
          </cell>
          <cell r="C949">
            <v>34628855000</v>
          </cell>
          <cell r="G949">
            <v>34628855000</v>
          </cell>
          <cell r="H949">
            <v>9349791</v>
          </cell>
          <cell r="I949">
            <v>5048394000</v>
          </cell>
          <cell r="K949">
            <v>5048394000</v>
          </cell>
          <cell r="M949">
            <v>3698979000</v>
          </cell>
          <cell r="O949">
            <v>3698979000</v>
          </cell>
          <cell r="P949">
            <v>4018492000</v>
          </cell>
          <cell r="R949">
            <v>4018492000</v>
          </cell>
          <cell r="S949">
            <v>849439000</v>
          </cell>
          <cell r="U949">
            <v>849439000</v>
          </cell>
          <cell r="V949">
            <v>19663000</v>
          </cell>
          <cell r="X949">
            <v>19663000</v>
          </cell>
          <cell r="Y949">
            <v>400971000</v>
          </cell>
          <cell r="AA949">
            <v>400971000</v>
          </cell>
          <cell r="AK949">
            <v>1515881</v>
          </cell>
          <cell r="AL949">
            <v>708600</v>
          </cell>
        </row>
        <row r="950">
          <cell r="C950">
            <v>266304758000</v>
          </cell>
          <cell r="D950">
            <v>0</v>
          </cell>
          <cell r="E950">
            <v>0</v>
          </cell>
          <cell r="F950">
            <v>6882920000</v>
          </cell>
          <cell r="G950">
            <v>273187678000</v>
          </cell>
          <cell r="H950">
            <v>73760675</v>
          </cell>
          <cell r="I950">
            <v>20776226000</v>
          </cell>
          <cell r="J950">
            <v>8370800000</v>
          </cell>
          <cell r="K950">
            <v>29147026000</v>
          </cell>
          <cell r="L950">
            <v>0</v>
          </cell>
          <cell r="M950">
            <v>72106928000</v>
          </cell>
          <cell r="N950">
            <v>44498100000</v>
          </cell>
          <cell r="O950">
            <v>116605028000</v>
          </cell>
          <cell r="P950">
            <v>7272355000</v>
          </cell>
          <cell r="Q950">
            <v>0</v>
          </cell>
          <cell r="R950">
            <v>7272355000</v>
          </cell>
          <cell r="S950">
            <v>5872568000</v>
          </cell>
          <cell r="T950">
            <v>0</v>
          </cell>
          <cell r="U950">
            <v>5872568000</v>
          </cell>
          <cell r="V950">
            <v>746178000</v>
          </cell>
          <cell r="W950">
            <v>0</v>
          </cell>
          <cell r="X950">
            <v>746178000</v>
          </cell>
          <cell r="Y950">
            <v>2067983000</v>
          </cell>
          <cell r="Z950">
            <v>0</v>
          </cell>
          <cell r="AA950">
            <v>2067983000</v>
          </cell>
          <cell r="AK950">
            <v>21271363</v>
          </cell>
          <cell r="AL950">
            <v>7386000</v>
          </cell>
        </row>
        <row r="951">
          <cell r="B951">
            <v>44827</v>
          </cell>
          <cell r="C951">
            <v>66972455000</v>
          </cell>
          <cell r="G951">
            <v>66972455000</v>
          </cell>
          <cell r="H951">
            <v>18082563</v>
          </cell>
          <cell r="I951">
            <v>6449162000</v>
          </cell>
          <cell r="K951">
            <v>6449162000</v>
          </cell>
          <cell r="M951">
            <v>212210000</v>
          </cell>
          <cell r="O951">
            <v>212210000</v>
          </cell>
          <cell r="P951">
            <v>3227045000</v>
          </cell>
          <cell r="R951">
            <v>3227045000</v>
          </cell>
          <cell r="S951">
            <v>853242000</v>
          </cell>
          <cell r="U951">
            <v>853242000</v>
          </cell>
          <cell r="V951">
            <v>54254000</v>
          </cell>
          <cell r="X951">
            <v>54254000</v>
          </cell>
          <cell r="Y951">
            <v>400000000</v>
          </cell>
          <cell r="AA951">
            <v>400000000</v>
          </cell>
          <cell r="AB951">
            <v>0</v>
          </cell>
          <cell r="AK951">
            <v>1209159</v>
          </cell>
          <cell r="AL951">
            <v>1091820</v>
          </cell>
        </row>
        <row r="952">
          <cell r="B952">
            <v>44830</v>
          </cell>
          <cell r="C952">
            <v>144470555000</v>
          </cell>
          <cell r="G952">
            <v>144470555000</v>
          </cell>
          <cell r="H952">
            <v>39007050</v>
          </cell>
          <cell r="I952">
            <v>10417302000</v>
          </cell>
          <cell r="K952">
            <v>10417302000</v>
          </cell>
          <cell r="M952">
            <v>14550355000</v>
          </cell>
          <cell r="N952">
            <v>7581000000</v>
          </cell>
          <cell r="O952">
            <v>22131355000</v>
          </cell>
          <cell r="P952">
            <v>6292926000</v>
          </cell>
          <cell r="R952">
            <v>6292926000</v>
          </cell>
          <cell r="S952">
            <v>1205551000</v>
          </cell>
          <cell r="U952">
            <v>1205551000</v>
          </cell>
          <cell r="V952">
            <v>94006000</v>
          </cell>
          <cell r="X952">
            <v>94006000</v>
          </cell>
          <cell r="Y952">
            <v>641451000</v>
          </cell>
          <cell r="AA952">
            <v>641451000</v>
          </cell>
          <cell r="AB952">
            <v>0</v>
          </cell>
          <cell r="AK952">
            <v>4950352</v>
          </cell>
          <cell r="AL952">
            <v>848610</v>
          </cell>
        </row>
        <row r="953">
          <cell r="B953">
            <v>44831</v>
          </cell>
          <cell r="C953">
            <v>48120130000</v>
          </cell>
          <cell r="G953">
            <v>48120130000</v>
          </cell>
          <cell r="H953">
            <v>12992435</v>
          </cell>
          <cell r="I953">
            <v>20546927000</v>
          </cell>
          <cell r="J953">
            <v>12105000000</v>
          </cell>
          <cell r="K953">
            <v>32651927000</v>
          </cell>
          <cell r="M953">
            <v>8856182000</v>
          </cell>
          <cell r="N953">
            <v>35190400000</v>
          </cell>
          <cell r="O953">
            <v>44046582000</v>
          </cell>
          <cell r="P953">
            <v>4774867000</v>
          </cell>
          <cell r="R953">
            <v>4774867000</v>
          </cell>
          <cell r="S953">
            <v>1386907000</v>
          </cell>
          <cell r="U953">
            <v>1386907000</v>
          </cell>
          <cell r="V953">
            <v>717178000</v>
          </cell>
          <cell r="X953">
            <v>717178000</v>
          </cell>
          <cell r="Y953">
            <v>404991000</v>
          </cell>
          <cell r="AA953">
            <v>404991000</v>
          </cell>
          <cell r="AB953">
            <v>0</v>
          </cell>
          <cell r="AK953">
            <v>12475374</v>
          </cell>
          <cell r="AL953">
            <v>401460</v>
          </cell>
        </row>
        <row r="954">
          <cell r="B954">
            <v>44832</v>
          </cell>
          <cell r="C954">
            <v>52574865000</v>
          </cell>
          <cell r="F954">
            <v>2693350000</v>
          </cell>
          <cell r="G954">
            <v>55268215000</v>
          </cell>
          <cell r="H954">
            <v>14922418</v>
          </cell>
          <cell r="I954">
            <v>3549934000</v>
          </cell>
          <cell r="K954">
            <v>3549934000</v>
          </cell>
          <cell r="M954">
            <v>25805747000</v>
          </cell>
          <cell r="N954">
            <v>2485000000</v>
          </cell>
          <cell r="O954">
            <v>28290747000</v>
          </cell>
          <cell r="P954">
            <v>964654000</v>
          </cell>
          <cell r="R954">
            <v>964654000</v>
          </cell>
          <cell r="S954">
            <v>1412426000</v>
          </cell>
          <cell r="U954">
            <v>1412426000</v>
          </cell>
          <cell r="V954">
            <v>121629000</v>
          </cell>
          <cell r="X954">
            <v>121629000</v>
          </cell>
          <cell r="Y954">
            <v>417783000</v>
          </cell>
          <cell r="AA954">
            <v>417783000</v>
          </cell>
          <cell r="AB954">
            <v>0</v>
          </cell>
          <cell r="AK954">
            <v>3932695</v>
          </cell>
          <cell r="AL954">
            <v>984540</v>
          </cell>
        </row>
        <row r="955">
          <cell r="B955">
            <v>44833</v>
          </cell>
          <cell r="C955">
            <v>101372432000</v>
          </cell>
          <cell r="F955">
            <v>3317795000</v>
          </cell>
          <cell r="G955">
            <v>104690227000</v>
          </cell>
          <cell r="H955">
            <v>28266361</v>
          </cell>
          <cell r="I955">
            <v>14672263000</v>
          </cell>
          <cell r="J955">
            <v>71148000000</v>
          </cell>
          <cell r="K955">
            <v>85820263000</v>
          </cell>
          <cell r="M955">
            <v>10442521000</v>
          </cell>
          <cell r="O955">
            <v>10442521000</v>
          </cell>
          <cell r="P955">
            <v>768038000</v>
          </cell>
          <cell r="R955">
            <v>768038000</v>
          </cell>
          <cell r="S955">
            <v>812575000</v>
          </cell>
          <cell r="U955">
            <v>812575000</v>
          </cell>
          <cell r="V955">
            <v>120893000</v>
          </cell>
          <cell r="X955">
            <v>120893000</v>
          </cell>
          <cell r="Y955">
            <v>429046000</v>
          </cell>
          <cell r="Z955">
            <v>9092400000</v>
          </cell>
          <cell r="AA955">
            <v>9521446000</v>
          </cell>
          <cell r="AB955">
            <v>952750000</v>
          </cell>
          <cell r="AD955">
            <v>952750000</v>
          </cell>
          <cell r="AK955">
            <v>17488665</v>
          </cell>
          <cell r="AL955">
            <v>1747289.9960000003</v>
          </cell>
        </row>
        <row r="956">
          <cell r="C956">
            <v>413510437000</v>
          </cell>
          <cell r="D956">
            <v>0</v>
          </cell>
          <cell r="E956">
            <v>0</v>
          </cell>
          <cell r="F956">
            <v>6011145000</v>
          </cell>
          <cell r="G956">
            <v>419521582000</v>
          </cell>
          <cell r="H956">
            <v>113270827</v>
          </cell>
          <cell r="I956">
            <v>55635588000</v>
          </cell>
          <cell r="J956">
            <v>83253000000</v>
          </cell>
          <cell r="K956">
            <v>138888588000</v>
          </cell>
          <cell r="L956">
            <v>0</v>
          </cell>
          <cell r="M956">
            <v>59867015000</v>
          </cell>
          <cell r="N956">
            <v>45256400000</v>
          </cell>
          <cell r="O956">
            <v>105123415000</v>
          </cell>
          <cell r="P956">
            <v>16027530000</v>
          </cell>
          <cell r="Q956">
            <v>0</v>
          </cell>
          <cell r="R956">
            <v>16027530000</v>
          </cell>
          <cell r="S956">
            <v>5670701000</v>
          </cell>
          <cell r="T956">
            <v>0</v>
          </cell>
          <cell r="U956">
            <v>5670701000</v>
          </cell>
          <cell r="V956">
            <v>1107960000</v>
          </cell>
          <cell r="W956">
            <v>0</v>
          </cell>
          <cell r="X956">
            <v>1107960000</v>
          </cell>
          <cell r="Y956">
            <v>2293271000</v>
          </cell>
          <cell r="Z956">
            <v>9092400000</v>
          </cell>
          <cell r="AA956">
            <v>11385671000</v>
          </cell>
          <cell r="AB956">
            <v>952750000</v>
          </cell>
          <cell r="AD956">
            <v>952750000</v>
          </cell>
          <cell r="AE956">
            <v>0</v>
          </cell>
          <cell r="AG956">
            <v>0</v>
          </cell>
          <cell r="AK956">
            <v>40056245</v>
          </cell>
          <cell r="AL956">
            <v>5073719.9960000003</v>
          </cell>
        </row>
        <row r="957">
          <cell r="B957">
            <v>44834</v>
          </cell>
          <cell r="C957">
            <v>281335456000</v>
          </cell>
          <cell r="G957">
            <v>281335456000</v>
          </cell>
          <cell r="H957">
            <v>75960573</v>
          </cell>
          <cell r="I957">
            <v>19960199000</v>
          </cell>
          <cell r="J957">
            <v>197427000000</v>
          </cell>
          <cell r="K957">
            <v>217387199000</v>
          </cell>
          <cell r="M957">
            <v>21708269000</v>
          </cell>
          <cell r="O957">
            <v>21708269000</v>
          </cell>
          <cell r="P957">
            <v>851181000</v>
          </cell>
          <cell r="R957">
            <v>851181000</v>
          </cell>
          <cell r="S957">
            <v>1052765000</v>
          </cell>
          <cell r="U957">
            <v>1052765000</v>
          </cell>
          <cell r="V957">
            <v>62434000</v>
          </cell>
          <cell r="X957">
            <v>62434000</v>
          </cell>
          <cell r="Y957">
            <v>18007000</v>
          </cell>
          <cell r="Z957">
            <v>4452000000</v>
          </cell>
          <cell r="AA957">
            <v>4470007000</v>
          </cell>
          <cell r="AB957">
            <v>1220786000</v>
          </cell>
          <cell r="AD957">
            <v>1220786000</v>
          </cell>
          <cell r="AK957">
            <v>41184573</v>
          </cell>
          <cell r="AL957">
            <v>3564060</v>
          </cell>
        </row>
        <row r="958">
          <cell r="B958">
            <v>44837</v>
          </cell>
          <cell r="C958">
            <v>61271950000</v>
          </cell>
          <cell r="D958">
            <v>30118550000</v>
          </cell>
          <cell r="G958">
            <v>91390500000</v>
          </cell>
          <cell r="H958">
            <v>24675435</v>
          </cell>
          <cell r="I958">
            <v>461039000</v>
          </cell>
          <cell r="J958">
            <v>21298400000</v>
          </cell>
          <cell r="K958">
            <v>21759439000</v>
          </cell>
          <cell r="M958">
            <v>2221784000</v>
          </cell>
          <cell r="N958">
            <v>36224500000</v>
          </cell>
          <cell r="O958">
            <v>38446284000</v>
          </cell>
          <cell r="P958">
            <v>1523903000</v>
          </cell>
          <cell r="R958">
            <v>1523903000</v>
          </cell>
          <cell r="S958">
            <v>1608273000</v>
          </cell>
          <cell r="U958">
            <v>1608273000</v>
          </cell>
          <cell r="V958">
            <v>718897000</v>
          </cell>
          <cell r="X958">
            <v>718897000</v>
          </cell>
          <cell r="Y958">
            <v>461877000</v>
          </cell>
          <cell r="AA958">
            <v>461877000</v>
          </cell>
          <cell r="AB958">
            <v>400730000</v>
          </cell>
          <cell r="AD958">
            <v>400730000</v>
          </cell>
          <cell r="AK958">
            <v>11152944</v>
          </cell>
          <cell r="AL958">
            <v>1541130</v>
          </cell>
        </row>
        <row r="959">
          <cell r="B959">
            <v>44838</v>
          </cell>
          <cell r="C959">
            <v>146880570000</v>
          </cell>
          <cell r="D959">
            <v>83134490000</v>
          </cell>
          <cell r="F959">
            <v>23482325000</v>
          </cell>
          <cell r="G959">
            <v>253497385000</v>
          </cell>
          <cell r="H959">
            <v>68444294</v>
          </cell>
          <cell r="I959">
            <v>22716336000</v>
          </cell>
          <cell r="J959">
            <v>62277200000</v>
          </cell>
          <cell r="K959">
            <v>84993536000</v>
          </cell>
          <cell r="M959">
            <v>13781877000</v>
          </cell>
          <cell r="N959">
            <v>35541500000</v>
          </cell>
          <cell r="O959">
            <v>49323377000</v>
          </cell>
          <cell r="P959">
            <v>851702000</v>
          </cell>
          <cell r="R959">
            <v>851702000</v>
          </cell>
          <cell r="S959">
            <v>1273155000</v>
          </cell>
          <cell r="U959">
            <v>1273155000</v>
          </cell>
          <cell r="V959">
            <v>416313000</v>
          </cell>
          <cell r="X959">
            <v>416313000</v>
          </cell>
          <cell r="Y959">
            <v>401043000</v>
          </cell>
          <cell r="Z959">
            <v>29593000000</v>
          </cell>
          <cell r="AA959">
            <v>29994043000</v>
          </cell>
          <cell r="AB959">
            <v>645125000</v>
          </cell>
          <cell r="AD959">
            <v>645125000</v>
          </cell>
          <cell r="AK959">
            <v>27263346</v>
          </cell>
          <cell r="AL959">
            <v>4348410</v>
          </cell>
        </row>
        <row r="960">
          <cell r="B960">
            <v>44839</v>
          </cell>
          <cell r="C960">
            <v>61380477000</v>
          </cell>
          <cell r="D960">
            <v>56094285000</v>
          </cell>
          <cell r="G960">
            <v>117474762000</v>
          </cell>
          <cell r="H960">
            <v>31718186</v>
          </cell>
          <cell r="I960">
            <v>325350000</v>
          </cell>
          <cell r="J960">
            <v>18691900000</v>
          </cell>
          <cell r="K960">
            <v>19017250000</v>
          </cell>
          <cell r="M960">
            <v>28588000</v>
          </cell>
          <cell r="N960">
            <v>49238000000</v>
          </cell>
          <cell r="O960">
            <v>49266588000</v>
          </cell>
          <cell r="P960">
            <v>3193990000</v>
          </cell>
          <cell r="R960">
            <v>3193990000</v>
          </cell>
          <cell r="S960">
            <v>3434677000</v>
          </cell>
          <cell r="U960">
            <v>3434677000</v>
          </cell>
          <cell r="V960">
            <v>124605000</v>
          </cell>
          <cell r="X960">
            <v>124605000</v>
          </cell>
          <cell r="Y960">
            <v>10252730000</v>
          </cell>
          <cell r="AA960">
            <v>10252730000</v>
          </cell>
          <cell r="AB960">
            <v>113551000</v>
          </cell>
          <cell r="AD960">
            <v>113551000</v>
          </cell>
          <cell r="AK960">
            <v>14114519</v>
          </cell>
          <cell r="AL960">
            <v>1717440</v>
          </cell>
        </row>
        <row r="961">
          <cell r="B961">
            <v>44840</v>
          </cell>
          <cell r="C961">
            <v>47880205000</v>
          </cell>
          <cell r="D961">
            <v>66822075000</v>
          </cell>
          <cell r="F961">
            <v>15324675000</v>
          </cell>
          <cell r="G961">
            <v>130026955000</v>
          </cell>
          <cell r="H961">
            <v>35107278</v>
          </cell>
          <cell r="I961">
            <v>1854000000</v>
          </cell>
          <cell r="J961">
            <v>37815800000</v>
          </cell>
          <cell r="K961">
            <v>39669800000</v>
          </cell>
          <cell r="M961">
            <v>473100000</v>
          </cell>
          <cell r="N961">
            <v>42833000000</v>
          </cell>
          <cell r="O961">
            <v>43306100000</v>
          </cell>
          <cell r="P961">
            <v>1059262000</v>
          </cell>
          <cell r="R961">
            <v>1059262000</v>
          </cell>
          <cell r="S961">
            <v>1632467000</v>
          </cell>
          <cell r="U961">
            <v>1632467000</v>
          </cell>
          <cell r="V961">
            <v>175247000</v>
          </cell>
          <cell r="X961">
            <v>175247000</v>
          </cell>
          <cell r="Y961">
            <v>34340000</v>
          </cell>
          <cell r="AA961">
            <v>34340000</v>
          </cell>
          <cell r="AB961">
            <v>347961000</v>
          </cell>
          <cell r="AD961">
            <v>347961000</v>
          </cell>
          <cell r="AK961">
            <v>15119033</v>
          </cell>
          <cell r="AL961">
            <v>1858590</v>
          </cell>
        </row>
        <row r="962">
          <cell r="C962">
            <v>598748658000</v>
          </cell>
          <cell r="D962">
            <v>236169400000</v>
          </cell>
          <cell r="E962">
            <v>0</v>
          </cell>
          <cell r="F962">
            <v>38807000000</v>
          </cell>
          <cell r="G962">
            <v>873725058000</v>
          </cell>
          <cell r="H962">
            <v>235905766</v>
          </cell>
          <cell r="I962">
            <v>45316924000</v>
          </cell>
          <cell r="J962">
            <v>337510300000</v>
          </cell>
          <cell r="K962">
            <v>382827224000</v>
          </cell>
          <cell r="L962">
            <v>0</v>
          </cell>
          <cell r="M962">
            <v>38213618000</v>
          </cell>
          <cell r="N962">
            <v>163837000000</v>
          </cell>
          <cell r="O962">
            <v>202050618000</v>
          </cell>
          <cell r="P962">
            <v>7480038000</v>
          </cell>
          <cell r="Q962">
            <v>0</v>
          </cell>
          <cell r="R962">
            <v>7480038000</v>
          </cell>
          <cell r="S962">
            <v>9001337000</v>
          </cell>
          <cell r="T962">
            <v>0</v>
          </cell>
          <cell r="U962">
            <v>9001337000</v>
          </cell>
          <cell r="V962">
            <v>1497496000</v>
          </cell>
          <cell r="W962">
            <v>0</v>
          </cell>
          <cell r="X962">
            <v>1497496000</v>
          </cell>
          <cell r="Y962">
            <v>11167997000</v>
          </cell>
          <cell r="Z962">
            <v>34045000000</v>
          </cell>
          <cell r="AA962">
            <v>45212997000</v>
          </cell>
          <cell r="AB962">
            <v>2728153000</v>
          </cell>
          <cell r="AD962">
            <v>2728153000</v>
          </cell>
          <cell r="AE962">
            <v>0</v>
          </cell>
          <cell r="AG962">
            <v>0</v>
          </cell>
          <cell r="AK962">
            <v>108834415</v>
          </cell>
          <cell r="AL962">
            <v>13029630</v>
          </cell>
        </row>
        <row r="963">
          <cell r="B963">
            <v>44841</v>
          </cell>
          <cell r="C963">
            <v>185112160000</v>
          </cell>
          <cell r="D963">
            <v>58524565000</v>
          </cell>
          <cell r="F963">
            <v>4277405000</v>
          </cell>
          <cell r="G963">
            <v>247914130000</v>
          </cell>
          <cell r="H963">
            <v>66936815</v>
          </cell>
          <cell r="I963">
            <v>5357000</v>
          </cell>
          <cell r="J963">
            <v>51322400000</v>
          </cell>
          <cell r="K963">
            <v>51327757000</v>
          </cell>
          <cell r="M963">
            <v>10232440000</v>
          </cell>
          <cell r="N963">
            <v>124877600000</v>
          </cell>
          <cell r="O963">
            <v>135110040000</v>
          </cell>
          <cell r="P963">
            <v>524402000</v>
          </cell>
          <cell r="R963">
            <v>524402000</v>
          </cell>
          <cell r="S963">
            <v>1665122000</v>
          </cell>
          <cell r="U963">
            <v>1665122000</v>
          </cell>
          <cell r="V963">
            <v>137393000</v>
          </cell>
          <cell r="X963">
            <v>137393000</v>
          </cell>
          <cell r="Y963">
            <v>395804000</v>
          </cell>
          <cell r="Z963">
            <v>183000000</v>
          </cell>
          <cell r="AA963">
            <v>578804000</v>
          </cell>
          <cell r="AB963">
            <v>255356000</v>
          </cell>
          <cell r="AD963">
            <v>255356000</v>
          </cell>
          <cell r="AK963">
            <v>33176254</v>
          </cell>
          <cell r="AL963">
            <v>4538400</v>
          </cell>
        </row>
        <row r="964">
          <cell r="B964">
            <v>44844</v>
          </cell>
          <cell r="C964">
            <v>167254560000</v>
          </cell>
          <cell r="D964">
            <v>54270812000</v>
          </cell>
          <cell r="G964">
            <v>221525372000</v>
          </cell>
          <cell r="H964">
            <v>59811850</v>
          </cell>
          <cell r="I964">
            <v>156855000</v>
          </cell>
          <cell r="J964">
            <v>31758500000</v>
          </cell>
          <cell r="K964">
            <v>31915355000</v>
          </cell>
          <cell r="M964">
            <v>3142563000</v>
          </cell>
          <cell r="N964">
            <v>26356000000</v>
          </cell>
          <cell r="O964">
            <v>29498563000</v>
          </cell>
          <cell r="P964">
            <v>3129282000</v>
          </cell>
          <cell r="R964">
            <v>3129282000</v>
          </cell>
          <cell r="S964">
            <v>1240864000</v>
          </cell>
          <cell r="U964">
            <v>1240864000</v>
          </cell>
          <cell r="V964">
            <v>274927000</v>
          </cell>
          <cell r="X964">
            <v>274927000</v>
          </cell>
          <cell r="Y964">
            <v>548407000</v>
          </cell>
          <cell r="AA964">
            <v>548407000</v>
          </cell>
          <cell r="AB964">
            <v>61348000</v>
          </cell>
          <cell r="AD964">
            <v>61348000</v>
          </cell>
          <cell r="AK964">
            <v>11384469</v>
          </cell>
          <cell r="AL964">
            <v>2813130</v>
          </cell>
        </row>
        <row r="965">
          <cell r="B965">
            <v>44845</v>
          </cell>
          <cell r="C965">
            <v>162494405000</v>
          </cell>
          <cell r="D965">
            <v>66767575000</v>
          </cell>
          <cell r="F965">
            <v>4161676000</v>
          </cell>
          <cell r="G965">
            <v>233423656000</v>
          </cell>
          <cell r="H965">
            <v>63024387</v>
          </cell>
          <cell r="I965">
            <v>8542341000</v>
          </cell>
          <cell r="J965">
            <v>37351900000</v>
          </cell>
          <cell r="K965">
            <v>45894241000</v>
          </cell>
          <cell r="M965">
            <v>19385642000</v>
          </cell>
          <cell r="N965">
            <v>23758000000</v>
          </cell>
          <cell r="O965">
            <v>43143642000</v>
          </cell>
          <cell r="P965">
            <v>1009760000</v>
          </cell>
          <cell r="R965">
            <v>1009760000</v>
          </cell>
          <cell r="S965">
            <v>1278010000</v>
          </cell>
          <cell r="U965">
            <v>1278010000</v>
          </cell>
          <cell r="V965">
            <v>149782000</v>
          </cell>
          <cell r="X965">
            <v>149782000</v>
          </cell>
          <cell r="Y965">
            <v>230753000</v>
          </cell>
          <cell r="AA965">
            <v>230753000</v>
          </cell>
          <cell r="AB965">
            <v>148520000</v>
          </cell>
          <cell r="AD965">
            <v>148520000</v>
          </cell>
          <cell r="AK965">
            <v>14320221</v>
          </cell>
          <cell r="AL965">
            <v>2986580</v>
          </cell>
        </row>
        <row r="966">
          <cell r="B966">
            <v>44846</v>
          </cell>
          <cell r="C966">
            <v>176809410000</v>
          </cell>
          <cell r="D966">
            <v>39322812000</v>
          </cell>
          <cell r="G966">
            <v>216132222000</v>
          </cell>
          <cell r="H966">
            <v>58355700</v>
          </cell>
          <cell r="I966">
            <v>9633538000</v>
          </cell>
          <cell r="J966">
            <v>38857700000</v>
          </cell>
          <cell r="K966">
            <v>48491238000</v>
          </cell>
          <cell r="M966">
            <v>4840297000</v>
          </cell>
          <cell r="N966">
            <v>8786000000</v>
          </cell>
          <cell r="O966">
            <v>13626297000</v>
          </cell>
          <cell r="P966">
            <v>1146718000</v>
          </cell>
          <cell r="R966">
            <v>1146718000</v>
          </cell>
          <cell r="S966">
            <v>920204000</v>
          </cell>
          <cell r="U966">
            <v>920204000</v>
          </cell>
          <cell r="V966">
            <v>144892000</v>
          </cell>
          <cell r="X966">
            <v>144892000</v>
          </cell>
          <cell r="Y966">
            <v>194432000</v>
          </cell>
          <cell r="Z966">
            <v>33840000000</v>
          </cell>
          <cell r="AA966">
            <v>34034432000</v>
          </cell>
          <cell r="AB966">
            <v>80006000</v>
          </cell>
          <cell r="AD966">
            <v>80006000</v>
          </cell>
          <cell r="AK966">
            <v>16498755</v>
          </cell>
          <cell r="AL966">
            <v>4955760</v>
          </cell>
        </row>
        <row r="967">
          <cell r="B967">
            <v>44847</v>
          </cell>
          <cell r="C967">
            <v>143588452000</v>
          </cell>
          <cell r="D967">
            <v>1426765000</v>
          </cell>
          <cell r="G967">
            <v>145015217000</v>
          </cell>
          <cell r="H967">
            <v>39154109</v>
          </cell>
          <cell r="I967">
            <v>9786285000</v>
          </cell>
          <cell r="K967">
            <v>9786285000</v>
          </cell>
          <cell r="M967">
            <v>15036192000</v>
          </cell>
          <cell r="N967">
            <v>3349228000</v>
          </cell>
          <cell r="O967">
            <v>18385420000</v>
          </cell>
          <cell r="P967">
            <v>1231238000</v>
          </cell>
          <cell r="R967">
            <v>1231238000</v>
          </cell>
          <cell r="S967">
            <v>476330000</v>
          </cell>
          <cell r="U967">
            <v>476330000</v>
          </cell>
          <cell r="V967">
            <v>26482000</v>
          </cell>
          <cell r="X967">
            <v>26482000</v>
          </cell>
          <cell r="Y967">
            <v>378250000</v>
          </cell>
          <cell r="Z967">
            <v>26700000000</v>
          </cell>
          <cell r="AA967">
            <v>27078250000</v>
          </cell>
          <cell r="AB967">
            <v>3312957000</v>
          </cell>
          <cell r="AD967">
            <v>3312957000</v>
          </cell>
          <cell r="AK967">
            <v>8675616</v>
          </cell>
          <cell r="AL967">
            <v>5287230</v>
          </cell>
        </row>
        <row r="968">
          <cell r="C968">
            <v>835258987000</v>
          </cell>
          <cell r="D968">
            <v>220312529000</v>
          </cell>
          <cell r="E968">
            <v>0</v>
          </cell>
          <cell r="F968">
            <v>8439081000</v>
          </cell>
          <cell r="G968">
            <v>1064010597000</v>
          </cell>
          <cell r="H968">
            <v>287282861</v>
          </cell>
          <cell r="I968">
            <v>28124376000</v>
          </cell>
          <cell r="J968">
            <v>159290500000</v>
          </cell>
          <cell r="K968">
            <v>187414876000</v>
          </cell>
          <cell r="L968">
            <v>0</v>
          </cell>
          <cell r="M968">
            <v>52637134000</v>
          </cell>
          <cell r="N968">
            <v>187126828000</v>
          </cell>
          <cell r="O968">
            <v>239763962000</v>
          </cell>
          <cell r="P968">
            <v>7041400000</v>
          </cell>
          <cell r="Q968">
            <v>0</v>
          </cell>
          <cell r="R968">
            <v>7041400000</v>
          </cell>
          <cell r="S968">
            <v>5580530000</v>
          </cell>
          <cell r="T968">
            <v>0</v>
          </cell>
          <cell r="U968">
            <v>5580530000</v>
          </cell>
          <cell r="V968">
            <v>733476000</v>
          </cell>
          <cell r="W968">
            <v>0</v>
          </cell>
          <cell r="X968">
            <v>733476000</v>
          </cell>
          <cell r="Y968">
            <v>1747646000</v>
          </cell>
          <cell r="Z968">
            <v>60723000000</v>
          </cell>
          <cell r="AA968">
            <v>62470646000</v>
          </cell>
          <cell r="AB968">
            <v>3858187000</v>
          </cell>
          <cell r="AC968">
            <v>0</v>
          </cell>
          <cell r="AD968">
            <v>3858187000</v>
          </cell>
          <cell r="AE968">
            <v>0</v>
          </cell>
          <cell r="AF968">
            <v>0</v>
          </cell>
          <cell r="AG968">
            <v>0</v>
          </cell>
          <cell r="AK968">
            <v>84055315</v>
          </cell>
          <cell r="AL968">
            <v>20581100</v>
          </cell>
        </row>
        <row r="969">
          <cell r="B969">
            <v>44848</v>
          </cell>
          <cell r="C969">
            <v>21334830000</v>
          </cell>
          <cell r="F969">
            <v>5784490000</v>
          </cell>
          <cell r="G969">
            <v>27119320000</v>
          </cell>
          <cell r="H969">
            <v>7322216</v>
          </cell>
          <cell r="I969">
            <v>8382926000</v>
          </cell>
          <cell r="K969">
            <v>8382926000</v>
          </cell>
          <cell r="M969">
            <v>3640480000</v>
          </cell>
          <cell r="O969">
            <v>3640480000</v>
          </cell>
          <cell r="P969">
            <v>624143000</v>
          </cell>
          <cell r="R969">
            <v>624143000</v>
          </cell>
          <cell r="S969">
            <v>468373000</v>
          </cell>
          <cell r="U969">
            <v>468373000</v>
          </cell>
          <cell r="V969">
            <v>115935000</v>
          </cell>
          <cell r="X969">
            <v>115935000</v>
          </cell>
          <cell r="Y969">
            <v>364254000</v>
          </cell>
          <cell r="AA969">
            <v>364254000</v>
          </cell>
          <cell r="AB969">
            <v>36202000</v>
          </cell>
          <cell r="AD969">
            <v>36202000</v>
          </cell>
          <cell r="AK969">
            <v>1472290</v>
          </cell>
          <cell r="AL969">
            <v>838470</v>
          </cell>
        </row>
        <row r="970">
          <cell r="B970">
            <v>44851</v>
          </cell>
          <cell r="C970">
            <v>20805087000</v>
          </cell>
          <cell r="G970">
            <v>20805087000</v>
          </cell>
          <cell r="H970">
            <v>5617373</v>
          </cell>
          <cell r="I970">
            <v>22592178000</v>
          </cell>
          <cell r="K970">
            <v>22592178000</v>
          </cell>
          <cell r="M970">
            <v>19221332000</v>
          </cell>
          <cell r="O970">
            <v>19221332000</v>
          </cell>
          <cell r="P970">
            <v>2099912000</v>
          </cell>
          <cell r="R970">
            <v>2099912000</v>
          </cell>
          <cell r="S970">
            <v>1033018000</v>
          </cell>
          <cell r="U970">
            <v>1033018000</v>
          </cell>
          <cell r="V970">
            <v>161462000</v>
          </cell>
          <cell r="X970">
            <v>161462000</v>
          </cell>
          <cell r="Y970">
            <v>343742000</v>
          </cell>
          <cell r="AA970">
            <v>343742000</v>
          </cell>
          <cell r="AB970">
            <v>91076000</v>
          </cell>
          <cell r="AD970">
            <v>91076000</v>
          </cell>
          <cell r="AK970">
            <v>4918614</v>
          </cell>
          <cell r="AL970">
            <v>2344380</v>
          </cell>
        </row>
        <row r="971">
          <cell r="B971">
            <v>44852</v>
          </cell>
          <cell r="C971">
            <v>63004540000</v>
          </cell>
          <cell r="F971">
            <v>5867205000</v>
          </cell>
          <cell r="G971">
            <v>68871745000</v>
          </cell>
          <cell r="H971">
            <v>18595371</v>
          </cell>
          <cell r="I971">
            <v>145590000</v>
          </cell>
          <cell r="J971">
            <v>11519150000</v>
          </cell>
          <cell r="K971">
            <v>11664740000</v>
          </cell>
          <cell r="M971">
            <v>11410719000</v>
          </cell>
          <cell r="N971">
            <v>22321500000</v>
          </cell>
          <cell r="O971">
            <v>33732219000</v>
          </cell>
          <cell r="P971">
            <v>840556000</v>
          </cell>
          <cell r="R971">
            <v>840556000</v>
          </cell>
          <cell r="S971">
            <v>604171000</v>
          </cell>
          <cell r="U971">
            <v>604171000</v>
          </cell>
          <cell r="V971">
            <v>131595000</v>
          </cell>
          <cell r="X971">
            <v>131595000</v>
          </cell>
          <cell r="Y971">
            <v>348874000</v>
          </cell>
          <cell r="Z971">
            <v>2076900000</v>
          </cell>
          <cell r="AA971">
            <v>2425774000</v>
          </cell>
          <cell r="AB971">
            <v>1069195000</v>
          </cell>
          <cell r="AD971">
            <v>1069195000</v>
          </cell>
          <cell r="AK971">
            <v>8036635</v>
          </cell>
          <cell r="AL971">
            <v>820950</v>
          </cell>
        </row>
        <row r="972">
          <cell r="B972">
            <v>44853</v>
          </cell>
          <cell r="C972">
            <v>64552240000</v>
          </cell>
          <cell r="G972">
            <v>64552240000</v>
          </cell>
          <cell r="H972">
            <v>17429105</v>
          </cell>
          <cell r="I972">
            <v>10768816000</v>
          </cell>
          <cell r="J972">
            <v>25188800000</v>
          </cell>
          <cell r="K972">
            <v>35957616000</v>
          </cell>
          <cell r="M972">
            <v>630135000</v>
          </cell>
          <cell r="N972">
            <v>54998500000</v>
          </cell>
          <cell r="O972">
            <v>55628635000</v>
          </cell>
          <cell r="P972">
            <v>196605000</v>
          </cell>
          <cell r="R972">
            <v>196605000</v>
          </cell>
          <cell r="S972">
            <v>488750000</v>
          </cell>
          <cell r="U972">
            <v>488750000</v>
          </cell>
          <cell r="V972">
            <v>66495000</v>
          </cell>
          <cell r="X972">
            <v>66495000</v>
          </cell>
          <cell r="Y972">
            <v>376939000</v>
          </cell>
          <cell r="AA972">
            <v>376939000</v>
          </cell>
          <cell r="AB972">
            <v>1585959000</v>
          </cell>
          <cell r="AD972">
            <v>1585959000</v>
          </cell>
          <cell r="AK972">
            <v>15957993</v>
          </cell>
          <cell r="AL972">
            <v>1541100</v>
          </cell>
        </row>
        <row r="973">
          <cell r="B973">
            <v>44854</v>
          </cell>
          <cell r="C973">
            <v>43711010000</v>
          </cell>
          <cell r="D973">
            <v>42719170000</v>
          </cell>
          <cell r="G973">
            <v>86430180000</v>
          </cell>
          <cell r="H973">
            <v>23336149</v>
          </cell>
          <cell r="I973">
            <v>143360000</v>
          </cell>
          <cell r="J973">
            <v>20556700000</v>
          </cell>
          <cell r="K973">
            <v>20700060000</v>
          </cell>
          <cell r="M973">
            <v>276480000</v>
          </cell>
          <cell r="N973">
            <v>38930000000</v>
          </cell>
          <cell r="O973">
            <v>39206480000</v>
          </cell>
          <cell r="P973">
            <v>2704060000</v>
          </cell>
          <cell r="R973">
            <v>2704060000</v>
          </cell>
          <cell r="S973">
            <v>423963000</v>
          </cell>
          <cell r="U973">
            <v>423963000</v>
          </cell>
          <cell r="V973">
            <v>60871000</v>
          </cell>
          <cell r="X973">
            <v>60871000</v>
          </cell>
          <cell r="Y973">
            <v>349810000</v>
          </cell>
          <cell r="Z973">
            <v>6197400000</v>
          </cell>
          <cell r="AA973">
            <v>6547210000</v>
          </cell>
          <cell r="AB973">
            <v>642060000</v>
          </cell>
          <cell r="AD973">
            <v>642060000</v>
          </cell>
          <cell r="AK973">
            <v>12320003</v>
          </cell>
          <cell r="AL973">
            <v>1679970</v>
          </cell>
        </row>
        <row r="974">
          <cell r="C974">
            <v>213407707000</v>
          </cell>
          <cell r="D974">
            <v>42719170000</v>
          </cell>
          <cell r="E974">
            <v>0</v>
          </cell>
          <cell r="F974">
            <v>11651695000</v>
          </cell>
          <cell r="G974">
            <v>267778572000</v>
          </cell>
          <cell r="H974">
            <v>72300214</v>
          </cell>
          <cell r="I974">
            <v>42032870000</v>
          </cell>
          <cell r="J974">
            <v>57264650000</v>
          </cell>
          <cell r="K974">
            <v>99297520000</v>
          </cell>
          <cell r="L974">
            <v>0</v>
          </cell>
          <cell r="M974">
            <v>35179146000</v>
          </cell>
          <cell r="N974">
            <v>116250000000</v>
          </cell>
          <cell r="O974">
            <v>151429146000</v>
          </cell>
          <cell r="P974">
            <v>6465276000</v>
          </cell>
          <cell r="Q974">
            <v>0</v>
          </cell>
          <cell r="R974">
            <v>6465276000</v>
          </cell>
          <cell r="S974">
            <v>3018275000</v>
          </cell>
          <cell r="T974">
            <v>0</v>
          </cell>
          <cell r="U974">
            <v>3018275000</v>
          </cell>
          <cell r="V974">
            <v>536358000</v>
          </cell>
          <cell r="W974">
            <v>0</v>
          </cell>
          <cell r="X974">
            <v>536358000</v>
          </cell>
          <cell r="Y974">
            <v>1783619000</v>
          </cell>
          <cell r="Z974">
            <v>8274300000</v>
          </cell>
          <cell r="AA974">
            <v>10057919000</v>
          </cell>
          <cell r="AB974">
            <v>3424492000</v>
          </cell>
          <cell r="AC974">
            <v>0</v>
          </cell>
          <cell r="AD974">
            <v>3424492000</v>
          </cell>
          <cell r="AE974">
            <v>0</v>
          </cell>
          <cell r="AF974">
            <v>0</v>
          </cell>
          <cell r="AG974">
            <v>0</v>
          </cell>
          <cell r="AK974">
            <v>42705535</v>
          </cell>
          <cell r="AL974">
            <v>7224870</v>
          </cell>
        </row>
        <row r="975">
          <cell r="B975">
            <v>44855</v>
          </cell>
          <cell r="C975">
            <v>9954275000</v>
          </cell>
          <cell r="D975">
            <v>0</v>
          </cell>
          <cell r="G975">
            <v>9954275000</v>
          </cell>
          <cell r="H975">
            <v>2687654</v>
          </cell>
          <cell r="I975">
            <v>12524961000</v>
          </cell>
          <cell r="J975">
            <v>31843650000</v>
          </cell>
          <cell r="K975">
            <v>44368611000</v>
          </cell>
          <cell r="M975">
            <v>17754110000</v>
          </cell>
          <cell r="N975">
            <v>48835500000</v>
          </cell>
          <cell r="O975">
            <v>66589610000</v>
          </cell>
          <cell r="P975">
            <v>580081000</v>
          </cell>
          <cell r="R975">
            <v>580081000</v>
          </cell>
          <cell r="S975">
            <v>768076000</v>
          </cell>
          <cell r="U975">
            <v>768076000</v>
          </cell>
          <cell r="V975">
            <v>208808000</v>
          </cell>
          <cell r="X975">
            <v>208808000</v>
          </cell>
          <cell r="Y975">
            <v>365308000</v>
          </cell>
          <cell r="Z975">
            <v>20080000000</v>
          </cell>
          <cell r="AA975">
            <v>20445308000</v>
          </cell>
          <cell r="AB975">
            <v>2866479000</v>
          </cell>
          <cell r="AD975">
            <v>2866479000</v>
          </cell>
          <cell r="AK975">
            <v>21923972</v>
          </cell>
          <cell r="AL975">
            <v>2828970</v>
          </cell>
        </row>
        <row r="976">
          <cell r="B976">
            <v>44858</v>
          </cell>
          <cell r="C976">
            <v>23598205000</v>
          </cell>
          <cell r="D976">
            <v>8421195000</v>
          </cell>
          <cell r="G976">
            <v>32019400000</v>
          </cell>
          <cell r="H976">
            <v>8645238</v>
          </cell>
          <cell r="I976">
            <v>8290402000</v>
          </cell>
          <cell r="K976">
            <v>8290402000</v>
          </cell>
          <cell r="M976">
            <v>11947318000</v>
          </cell>
          <cell r="O976">
            <v>11947318000</v>
          </cell>
          <cell r="P976">
            <v>868490000</v>
          </cell>
          <cell r="R976">
            <v>868490000</v>
          </cell>
          <cell r="S976">
            <v>1466424000</v>
          </cell>
          <cell r="U976">
            <v>1466424000</v>
          </cell>
          <cell r="V976">
            <v>116222000</v>
          </cell>
          <cell r="X976">
            <v>116222000</v>
          </cell>
          <cell r="Y976">
            <v>437666000</v>
          </cell>
          <cell r="AA976">
            <v>437666000</v>
          </cell>
          <cell r="AB976">
            <v>2872563000</v>
          </cell>
          <cell r="AD976">
            <v>2872563000</v>
          </cell>
          <cell r="AK976">
            <v>2807901</v>
          </cell>
          <cell r="AL976">
            <v>1603530</v>
          </cell>
        </row>
        <row r="977">
          <cell r="B977">
            <v>44859</v>
          </cell>
          <cell r="C977">
            <v>48352487000</v>
          </cell>
          <cell r="D977">
            <v>76179930000</v>
          </cell>
          <cell r="G977">
            <v>124532417000</v>
          </cell>
          <cell r="H977">
            <v>33623753</v>
          </cell>
          <cell r="I977">
            <v>5058000000</v>
          </cell>
          <cell r="J977">
            <v>29230000000</v>
          </cell>
          <cell r="K977">
            <v>34288000000</v>
          </cell>
          <cell r="M977">
            <v>11565524000</v>
          </cell>
          <cell r="N977">
            <v>146211400000</v>
          </cell>
          <cell r="O977">
            <v>157776924000</v>
          </cell>
          <cell r="P977">
            <v>2302513000</v>
          </cell>
          <cell r="R977">
            <v>2302513000</v>
          </cell>
          <cell r="S977">
            <v>1029604000</v>
          </cell>
          <cell r="U977">
            <v>1029604000</v>
          </cell>
          <cell r="V977">
            <v>153921000</v>
          </cell>
          <cell r="X977">
            <v>153921000</v>
          </cell>
          <cell r="Y977">
            <v>369084000</v>
          </cell>
          <cell r="AA977">
            <v>369084000</v>
          </cell>
          <cell r="AB977">
            <v>2588893000</v>
          </cell>
          <cell r="AD977">
            <v>2588893000</v>
          </cell>
          <cell r="AK977">
            <v>34070746</v>
          </cell>
          <cell r="AL977">
            <v>2548290</v>
          </cell>
        </row>
        <row r="978">
          <cell r="B978">
            <v>44860</v>
          </cell>
          <cell r="C978">
            <v>49909020000</v>
          </cell>
          <cell r="D978">
            <v>38829250000</v>
          </cell>
          <cell r="F978">
            <v>9842056250</v>
          </cell>
          <cell r="G978">
            <v>98580326250</v>
          </cell>
          <cell r="H978">
            <v>26616688</v>
          </cell>
          <cell r="I978">
            <v>119946000</v>
          </cell>
          <cell r="J978">
            <v>23226500000</v>
          </cell>
          <cell r="K978">
            <v>23346446000</v>
          </cell>
          <cell r="M978">
            <v>1568700000</v>
          </cell>
          <cell r="N978">
            <v>15066000000</v>
          </cell>
          <cell r="O978">
            <v>16634700000</v>
          </cell>
          <cell r="P978">
            <v>723841000</v>
          </cell>
          <cell r="R978">
            <v>723841000</v>
          </cell>
          <cell r="S978">
            <v>681337000</v>
          </cell>
          <cell r="U978">
            <v>681337000</v>
          </cell>
          <cell r="V978">
            <v>132686000</v>
          </cell>
          <cell r="X978">
            <v>132686000</v>
          </cell>
          <cell r="Y978">
            <v>320630000</v>
          </cell>
          <cell r="Z978">
            <v>2590000000</v>
          </cell>
          <cell r="AA978">
            <v>2910630000</v>
          </cell>
          <cell r="AB978">
            <v>1779164000</v>
          </cell>
          <cell r="AD978">
            <v>1779164000</v>
          </cell>
          <cell r="AK978">
            <v>7934091</v>
          </cell>
          <cell r="AL978">
            <v>1341840</v>
          </cell>
        </row>
        <row r="979">
          <cell r="B979">
            <v>44861</v>
          </cell>
          <cell r="C979">
            <v>36398940000</v>
          </cell>
          <cell r="D979">
            <v>20253750000</v>
          </cell>
          <cell r="G979">
            <v>56652690000</v>
          </cell>
          <cell r="H979">
            <v>15296226</v>
          </cell>
          <cell r="I979">
            <v>114220000</v>
          </cell>
          <cell r="J979">
            <v>11656200000</v>
          </cell>
          <cell r="K979">
            <v>11770420000</v>
          </cell>
          <cell r="M979">
            <v>10595046000</v>
          </cell>
          <cell r="N979">
            <v>28143000000</v>
          </cell>
          <cell r="O979">
            <v>38738046000</v>
          </cell>
          <cell r="P979">
            <v>2545118000</v>
          </cell>
          <cell r="R979">
            <v>2545118000</v>
          </cell>
          <cell r="S979">
            <v>669953000</v>
          </cell>
          <cell r="U979">
            <v>669953000</v>
          </cell>
          <cell r="V979">
            <v>218595000</v>
          </cell>
          <cell r="X979">
            <v>218595000</v>
          </cell>
          <cell r="Y979">
            <v>335550000</v>
          </cell>
          <cell r="AA979">
            <v>335550000</v>
          </cell>
          <cell r="AB979">
            <v>1875779000</v>
          </cell>
          <cell r="AD979">
            <v>1875779000</v>
          </cell>
          <cell r="AK979">
            <v>8930116</v>
          </cell>
          <cell r="AL979">
            <v>1424610</v>
          </cell>
        </row>
        <row r="980">
          <cell r="C980">
            <v>168212927000</v>
          </cell>
          <cell r="D980">
            <v>143684125000</v>
          </cell>
          <cell r="E980">
            <v>0</v>
          </cell>
          <cell r="F980">
            <v>9842056250</v>
          </cell>
          <cell r="G980">
            <v>321739108250</v>
          </cell>
          <cell r="H980">
            <v>86869559</v>
          </cell>
          <cell r="I980">
            <v>26107529000</v>
          </cell>
          <cell r="J980">
            <v>95956350000</v>
          </cell>
          <cell r="K980">
            <v>122063879000</v>
          </cell>
          <cell r="L980">
            <v>0</v>
          </cell>
          <cell r="M980">
            <v>53430698000</v>
          </cell>
          <cell r="N980">
            <v>238255900000</v>
          </cell>
          <cell r="O980">
            <v>291686598000</v>
          </cell>
          <cell r="P980">
            <v>7020043000</v>
          </cell>
          <cell r="Q980">
            <v>0</v>
          </cell>
          <cell r="R980">
            <v>7020043000</v>
          </cell>
          <cell r="S980">
            <v>4615394000</v>
          </cell>
          <cell r="T980">
            <v>0</v>
          </cell>
          <cell r="U980">
            <v>4615394000</v>
          </cell>
          <cell r="V980">
            <v>830232000</v>
          </cell>
          <cell r="W980">
            <v>0</v>
          </cell>
          <cell r="X980">
            <v>830232000</v>
          </cell>
          <cell r="Y980">
            <v>1828238000</v>
          </cell>
          <cell r="Z980">
            <v>22670000000</v>
          </cell>
          <cell r="AA980">
            <v>24498238000</v>
          </cell>
          <cell r="AB980">
            <v>11982878000</v>
          </cell>
          <cell r="AC980">
            <v>0</v>
          </cell>
          <cell r="AD980">
            <v>11982878000</v>
          </cell>
          <cell r="AE980">
            <v>0</v>
          </cell>
          <cell r="AF980">
            <v>0</v>
          </cell>
          <cell r="AG980">
            <v>0</v>
          </cell>
          <cell r="AK980">
            <v>75666826</v>
          </cell>
          <cell r="AL980">
            <v>9747240</v>
          </cell>
        </row>
        <row r="981">
          <cell r="B981">
            <v>44862</v>
          </cell>
          <cell r="C981">
            <v>78283753900</v>
          </cell>
          <cell r="D981">
            <v>35671005000</v>
          </cell>
          <cell r="G981">
            <v>113954758900</v>
          </cell>
          <cell r="H981">
            <v>30767785</v>
          </cell>
          <cell r="I981">
            <v>0</v>
          </cell>
          <cell r="J981">
            <v>5248000000</v>
          </cell>
          <cell r="K981">
            <v>5248000000</v>
          </cell>
          <cell r="M981">
            <v>3688911000</v>
          </cell>
          <cell r="N981">
            <v>24746000000</v>
          </cell>
          <cell r="O981">
            <v>28434911000</v>
          </cell>
          <cell r="P981">
            <v>145432000</v>
          </cell>
          <cell r="R981">
            <v>145432000</v>
          </cell>
          <cell r="S981">
            <v>571975000</v>
          </cell>
          <cell r="U981">
            <v>571975000</v>
          </cell>
          <cell r="V981">
            <v>87989000</v>
          </cell>
          <cell r="X981">
            <v>87989000</v>
          </cell>
          <cell r="Y981">
            <v>384825000</v>
          </cell>
          <cell r="AA981">
            <v>384825000</v>
          </cell>
          <cell r="AB981">
            <v>1716279000</v>
          </cell>
          <cell r="AD981">
            <v>1716279000</v>
          </cell>
          <cell r="AK981">
            <v>6111224</v>
          </cell>
          <cell r="AL981">
            <v>3089400</v>
          </cell>
        </row>
        <row r="982">
          <cell r="B982">
            <v>44865</v>
          </cell>
          <cell r="C982">
            <v>34401837000</v>
          </cell>
          <cell r="D982">
            <v>7321315000</v>
          </cell>
          <cell r="G982">
            <v>41723152000</v>
          </cell>
          <cell r="H982">
            <v>11265251</v>
          </cell>
          <cell r="I982">
            <v>1702789000</v>
          </cell>
          <cell r="J982">
            <v>12023800000</v>
          </cell>
          <cell r="K982">
            <v>13726589000</v>
          </cell>
          <cell r="M982">
            <v>5759685000</v>
          </cell>
          <cell r="N982">
            <v>30833500000</v>
          </cell>
          <cell r="O982">
            <v>36593185000</v>
          </cell>
          <cell r="P982">
            <v>1129317000</v>
          </cell>
          <cell r="R982">
            <v>1129317000</v>
          </cell>
          <cell r="S982">
            <v>722684000</v>
          </cell>
          <cell r="U982">
            <v>722684000</v>
          </cell>
          <cell r="V982">
            <v>124491000</v>
          </cell>
          <cell r="X982">
            <v>124491000</v>
          </cell>
          <cell r="Y982">
            <v>368410000</v>
          </cell>
          <cell r="AA982">
            <v>368410000</v>
          </cell>
          <cell r="AB982">
            <v>1742227000</v>
          </cell>
          <cell r="AD982">
            <v>1742227000</v>
          </cell>
          <cell r="AK982">
            <v>8961672</v>
          </cell>
          <cell r="AL982">
            <v>2486000</v>
          </cell>
        </row>
        <row r="983">
          <cell r="B983">
            <v>44866</v>
          </cell>
          <cell r="C983">
            <v>101746005900</v>
          </cell>
          <cell r="G983">
            <v>101746005900</v>
          </cell>
          <cell r="H983">
            <v>27471422</v>
          </cell>
          <cell r="I983">
            <v>4089744000</v>
          </cell>
          <cell r="J983">
            <v>14087300000</v>
          </cell>
          <cell r="K983">
            <v>18177044000</v>
          </cell>
          <cell r="M983">
            <v>3236157000</v>
          </cell>
          <cell r="N983">
            <v>22340000000</v>
          </cell>
          <cell r="O983">
            <v>25576157000</v>
          </cell>
          <cell r="P983">
            <v>795403000</v>
          </cell>
          <cell r="R983">
            <v>795403000</v>
          </cell>
          <cell r="S983">
            <v>1329048000</v>
          </cell>
          <cell r="U983">
            <v>1329048000</v>
          </cell>
          <cell r="V983">
            <v>322454000</v>
          </cell>
          <cell r="X983">
            <v>322454000</v>
          </cell>
          <cell r="Y983">
            <v>461753000</v>
          </cell>
          <cell r="AA983">
            <v>461753000</v>
          </cell>
          <cell r="AB983">
            <v>838012000</v>
          </cell>
          <cell r="AD983">
            <v>838012000</v>
          </cell>
          <cell r="AK983">
            <v>7752752</v>
          </cell>
          <cell r="AL983">
            <v>1138440</v>
          </cell>
        </row>
        <row r="984">
          <cell r="B984">
            <v>44867</v>
          </cell>
          <cell r="C984">
            <v>54333845000</v>
          </cell>
          <cell r="D984">
            <v>42861990000</v>
          </cell>
          <cell r="G984">
            <v>97195835000</v>
          </cell>
          <cell r="H984">
            <v>26242875</v>
          </cell>
          <cell r="I984">
            <v>45214000</v>
          </cell>
          <cell r="J984">
            <v>15714500000</v>
          </cell>
          <cell r="K984">
            <v>15759714000</v>
          </cell>
          <cell r="M984">
            <v>494485000</v>
          </cell>
          <cell r="N984">
            <v>25645250000</v>
          </cell>
          <cell r="O984">
            <v>26139735000</v>
          </cell>
          <cell r="P984">
            <v>967431000</v>
          </cell>
          <cell r="R984">
            <v>967431000</v>
          </cell>
          <cell r="S984">
            <v>700726000</v>
          </cell>
          <cell r="U984">
            <v>700726000</v>
          </cell>
          <cell r="V984">
            <v>148461000</v>
          </cell>
          <cell r="X984">
            <v>148461000</v>
          </cell>
          <cell r="Y984">
            <v>384955000</v>
          </cell>
          <cell r="AA984">
            <v>384955000</v>
          </cell>
          <cell r="AB984">
            <v>845128000</v>
          </cell>
          <cell r="AD984">
            <v>845128000</v>
          </cell>
          <cell r="AK984">
            <v>7832086</v>
          </cell>
          <cell r="AL984">
            <v>1301100</v>
          </cell>
        </row>
        <row r="985">
          <cell r="B985">
            <v>44868</v>
          </cell>
          <cell r="C985">
            <v>27843115000</v>
          </cell>
          <cell r="D985">
            <v>101847610000</v>
          </cell>
          <cell r="G985">
            <v>129690725000</v>
          </cell>
          <cell r="H985">
            <v>35016496</v>
          </cell>
          <cell r="I985">
            <v>1465006000</v>
          </cell>
          <cell r="J985">
            <v>8686700000</v>
          </cell>
          <cell r="K985">
            <v>10151706000</v>
          </cell>
          <cell r="M985">
            <v>2433646000</v>
          </cell>
          <cell r="N985">
            <v>42017500000</v>
          </cell>
          <cell r="O985">
            <v>44451146000</v>
          </cell>
          <cell r="P985">
            <v>2379850000</v>
          </cell>
          <cell r="R985">
            <v>2379850000</v>
          </cell>
          <cell r="S985">
            <v>603801000</v>
          </cell>
          <cell r="U985">
            <v>603801000</v>
          </cell>
          <cell r="V985">
            <v>83220000</v>
          </cell>
          <cell r="X985">
            <v>83220000</v>
          </cell>
          <cell r="Y985">
            <v>362017000</v>
          </cell>
          <cell r="AA985">
            <v>362017000</v>
          </cell>
          <cell r="AB985">
            <v>826581000</v>
          </cell>
          <cell r="AD985">
            <v>826581000</v>
          </cell>
          <cell r="AK985">
            <v>10007401</v>
          </cell>
          <cell r="AL985">
            <v>963990</v>
          </cell>
        </row>
        <row r="986">
          <cell r="C986">
            <v>296608556800</v>
          </cell>
          <cell r="D986">
            <v>187701920000</v>
          </cell>
          <cell r="E986">
            <v>0</v>
          </cell>
          <cell r="F986">
            <v>0</v>
          </cell>
          <cell r="G986">
            <v>484310476800</v>
          </cell>
          <cell r="H986">
            <v>130763829</v>
          </cell>
          <cell r="I986">
            <v>7302753000</v>
          </cell>
          <cell r="J986">
            <v>55760300000</v>
          </cell>
          <cell r="K986">
            <v>63063053000</v>
          </cell>
          <cell r="L986">
            <v>0</v>
          </cell>
          <cell r="M986">
            <v>15612884000</v>
          </cell>
          <cell r="N986">
            <v>145582250000</v>
          </cell>
          <cell r="O986">
            <v>161195134000</v>
          </cell>
          <cell r="P986">
            <v>5417433000</v>
          </cell>
          <cell r="Q986">
            <v>0</v>
          </cell>
          <cell r="R986">
            <v>5417433000</v>
          </cell>
          <cell r="S986">
            <v>3928234000</v>
          </cell>
          <cell r="T986">
            <v>0</v>
          </cell>
          <cell r="U986">
            <v>3928234000</v>
          </cell>
          <cell r="V986">
            <v>766615000</v>
          </cell>
          <cell r="W986">
            <v>0</v>
          </cell>
          <cell r="X986">
            <v>766615000</v>
          </cell>
          <cell r="Y986">
            <v>1961960000</v>
          </cell>
          <cell r="Z986">
            <v>0</v>
          </cell>
          <cell r="AA986">
            <v>1961960000</v>
          </cell>
          <cell r="AB986">
            <v>5968227000</v>
          </cell>
          <cell r="AC986">
            <v>0</v>
          </cell>
          <cell r="AD986">
            <v>5968227000</v>
          </cell>
          <cell r="AE986">
            <v>0</v>
          </cell>
          <cell r="AF986">
            <v>0</v>
          </cell>
          <cell r="AG986">
            <v>0</v>
          </cell>
          <cell r="AK986">
            <v>40665135</v>
          </cell>
          <cell r="AL986">
            <v>8978930</v>
          </cell>
        </row>
        <row r="987">
          <cell r="B987">
            <v>44869</v>
          </cell>
          <cell r="C987">
            <v>121683713000</v>
          </cell>
          <cell r="G987">
            <v>121683713000</v>
          </cell>
          <cell r="H987">
            <v>32854603</v>
          </cell>
          <cell r="I987">
            <v>6766126000</v>
          </cell>
          <cell r="J987">
            <v>102202500000</v>
          </cell>
          <cell r="K987">
            <v>108968626000</v>
          </cell>
          <cell r="M987">
            <v>16053157000</v>
          </cell>
          <cell r="N987">
            <v>78946500000</v>
          </cell>
          <cell r="O987">
            <v>94999657000</v>
          </cell>
          <cell r="P987">
            <v>1355189000</v>
          </cell>
          <cell r="R987">
            <v>1355189000</v>
          </cell>
          <cell r="S987">
            <v>1843167000</v>
          </cell>
          <cell r="U987">
            <v>1843167000</v>
          </cell>
          <cell r="V987">
            <v>108855000</v>
          </cell>
          <cell r="X987">
            <v>108855000</v>
          </cell>
          <cell r="Y987">
            <v>410796000</v>
          </cell>
          <cell r="AA987">
            <v>410796000</v>
          </cell>
          <cell r="AB987">
            <v>934477000</v>
          </cell>
          <cell r="AD987">
            <v>934477000</v>
          </cell>
          <cell r="AK987">
            <v>35573771</v>
          </cell>
          <cell r="AL987">
            <v>5865510</v>
          </cell>
        </row>
        <row r="988">
          <cell r="B988">
            <v>44872</v>
          </cell>
          <cell r="C988">
            <v>88104650000</v>
          </cell>
          <cell r="D988">
            <v>72805550000</v>
          </cell>
          <cell r="G988">
            <v>160910200000</v>
          </cell>
          <cell r="H988">
            <v>43445754</v>
          </cell>
          <cell r="I988">
            <v>104446000</v>
          </cell>
          <cell r="J988">
            <v>78215500000</v>
          </cell>
          <cell r="K988">
            <v>78319946000</v>
          </cell>
          <cell r="M988">
            <v>27589660000</v>
          </cell>
          <cell r="N988">
            <v>75880400000</v>
          </cell>
          <cell r="O988">
            <v>103470060000</v>
          </cell>
          <cell r="P988">
            <v>1408045000</v>
          </cell>
          <cell r="R988">
            <v>1408045000</v>
          </cell>
          <cell r="S988">
            <v>1760505000</v>
          </cell>
          <cell r="U988">
            <v>1760505000</v>
          </cell>
          <cell r="V988">
            <v>169636000</v>
          </cell>
          <cell r="X988">
            <v>169636000</v>
          </cell>
          <cell r="Y988">
            <v>435640000</v>
          </cell>
          <cell r="AA988">
            <v>435640000</v>
          </cell>
          <cell r="AB988">
            <v>840872000</v>
          </cell>
          <cell r="AD988">
            <v>840872000</v>
          </cell>
          <cell r="AK988">
            <v>31226613</v>
          </cell>
          <cell r="AL988">
            <v>2596500</v>
          </cell>
        </row>
        <row r="989">
          <cell r="B989">
            <v>44873</v>
          </cell>
          <cell r="C989">
            <v>35391251000</v>
          </cell>
          <cell r="D989">
            <v>21366505000</v>
          </cell>
          <cell r="G989">
            <v>56757756000</v>
          </cell>
          <cell r="H989">
            <v>15324594</v>
          </cell>
          <cell r="I989">
            <v>1605311000</v>
          </cell>
          <cell r="J989">
            <v>81577700000</v>
          </cell>
          <cell r="K989">
            <v>83183011000</v>
          </cell>
          <cell r="M989">
            <v>4673110000</v>
          </cell>
          <cell r="N989">
            <v>10440000000</v>
          </cell>
          <cell r="O989">
            <v>15113110000</v>
          </cell>
          <cell r="P989">
            <v>517103000</v>
          </cell>
          <cell r="R989">
            <v>517103000</v>
          </cell>
          <cell r="S989">
            <v>818780000</v>
          </cell>
          <cell r="U989">
            <v>818780000</v>
          </cell>
          <cell r="V989">
            <v>93533000</v>
          </cell>
          <cell r="X989">
            <v>93533000</v>
          </cell>
          <cell r="Y989">
            <v>345133000</v>
          </cell>
          <cell r="AA989">
            <v>345133000</v>
          </cell>
          <cell r="AB989">
            <v>839967000</v>
          </cell>
          <cell r="AD989">
            <v>839967000</v>
          </cell>
          <cell r="AK989">
            <v>17523625</v>
          </cell>
          <cell r="AL989">
            <v>1895490</v>
          </cell>
        </row>
        <row r="990">
          <cell r="B990">
            <v>44874</v>
          </cell>
          <cell r="C990">
            <v>47926245000</v>
          </cell>
          <cell r="G990">
            <v>47926245000</v>
          </cell>
          <cell r="H990">
            <v>12940086</v>
          </cell>
          <cell r="I990">
            <v>6616000</v>
          </cell>
          <cell r="J990">
            <v>68307200000</v>
          </cell>
          <cell r="K990">
            <v>68313816000</v>
          </cell>
          <cell r="M990">
            <v>84357000</v>
          </cell>
          <cell r="N990">
            <v>27133000000</v>
          </cell>
          <cell r="O990">
            <v>27217357000</v>
          </cell>
          <cell r="P990">
            <v>234477000</v>
          </cell>
          <cell r="R990">
            <v>234477000</v>
          </cell>
          <cell r="S990">
            <v>804326000</v>
          </cell>
          <cell r="U990">
            <v>804326000</v>
          </cell>
          <cell r="V990">
            <v>166019000</v>
          </cell>
          <cell r="X990">
            <v>166019000</v>
          </cell>
          <cell r="Y990">
            <v>337284000</v>
          </cell>
          <cell r="AA990">
            <v>337284000</v>
          </cell>
          <cell r="AB990">
            <v>97154000</v>
          </cell>
          <cell r="AD990">
            <v>97154000</v>
          </cell>
          <cell r="AK990">
            <v>17366101</v>
          </cell>
          <cell r="AL990">
            <v>2219940</v>
          </cell>
        </row>
        <row r="991">
          <cell r="B991">
            <v>44875</v>
          </cell>
          <cell r="C991">
            <v>83094620000</v>
          </cell>
          <cell r="D991">
            <v>49419120000</v>
          </cell>
          <cell r="G991">
            <v>132513740000</v>
          </cell>
          <cell r="H991">
            <v>35778710</v>
          </cell>
          <cell r="I991">
            <v>0</v>
          </cell>
          <cell r="J991">
            <v>99460500000</v>
          </cell>
          <cell r="K991">
            <v>99460500000</v>
          </cell>
          <cell r="M991">
            <v>2981790000</v>
          </cell>
          <cell r="N991">
            <v>91856500000</v>
          </cell>
          <cell r="O991">
            <v>94838290000</v>
          </cell>
          <cell r="P991">
            <v>2284452000</v>
          </cell>
          <cell r="R991">
            <v>2284452000</v>
          </cell>
          <cell r="S991">
            <v>1578503000</v>
          </cell>
          <cell r="U991">
            <v>1578503000</v>
          </cell>
          <cell r="V991">
            <v>99411000</v>
          </cell>
          <cell r="X991">
            <v>99411000</v>
          </cell>
          <cell r="Y991">
            <v>349030000</v>
          </cell>
          <cell r="AA991">
            <v>349030000</v>
          </cell>
          <cell r="AB991">
            <v>933590000</v>
          </cell>
          <cell r="AD991">
            <v>933590000</v>
          </cell>
          <cell r="AK991">
            <v>35325552</v>
          </cell>
          <cell r="AL991">
            <v>2463050</v>
          </cell>
        </row>
        <row r="992">
          <cell r="C992">
            <v>376200479000</v>
          </cell>
          <cell r="D992">
            <v>143591175000</v>
          </cell>
          <cell r="E992">
            <v>0</v>
          </cell>
          <cell r="F992">
            <v>0</v>
          </cell>
          <cell r="G992">
            <v>519791654000</v>
          </cell>
          <cell r="H992">
            <v>140343747</v>
          </cell>
          <cell r="I992">
            <v>8482499000</v>
          </cell>
          <cell r="J992">
            <v>429763400000</v>
          </cell>
          <cell r="K992">
            <v>438245899000</v>
          </cell>
          <cell r="L992">
            <v>0</v>
          </cell>
          <cell r="M992">
            <v>51382074000</v>
          </cell>
          <cell r="N992">
            <v>284256400000</v>
          </cell>
          <cell r="O992">
            <v>335638474000</v>
          </cell>
          <cell r="P992">
            <v>5799266000</v>
          </cell>
          <cell r="Q992">
            <v>0</v>
          </cell>
          <cell r="R992">
            <v>5799266000</v>
          </cell>
          <cell r="S992">
            <v>6805281000</v>
          </cell>
          <cell r="T992">
            <v>0</v>
          </cell>
          <cell r="U992">
            <v>6805281000</v>
          </cell>
          <cell r="V992">
            <v>637454000</v>
          </cell>
          <cell r="W992">
            <v>0</v>
          </cell>
          <cell r="X992">
            <v>637454000</v>
          </cell>
          <cell r="Y992">
            <v>1877883000</v>
          </cell>
          <cell r="Z992">
            <v>0</v>
          </cell>
          <cell r="AA992">
            <v>1877883000</v>
          </cell>
          <cell r="AB992">
            <v>3646060000</v>
          </cell>
          <cell r="AC992">
            <v>0</v>
          </cell>
          <cell r="AD992">
            <v>3646060000</v>
          </cell>
          <cell r="AE992">
            <v>0</v>
          </cell>
          <cell r="AF992">
            <v>0</v>
          </cell>
          <cell r="AG992">
            <v>0</v>
          </cell>
          <cell r="AK992">
            <v>137015662</v>
          </cell>
          <cell r="AL992">
            <v>15040490</v>
          </cell>
        </row>
        <row r="993">
          <cell r="B993">
            <v>44876</v>
          </cell>
          <cell r="C993">
            <v>26304045000</v>
          </cell>
          <cell r="D993">
            <v>17798260000</v>
          </cell>
          <cell r="G993">
            <v>44102305000</v>
          </cell>
          <cell r="H993">
            <v>11907622</v>
          </cell>
          <cell r="I993">
            <v>1366000000</v>
          </cell>
          <cell r="J993">
            <v>104614200000</v>
          </cell>
          <cell r="K993">
            <v>105980200000</v>
          </cell>
          <cell r="M993">
            <v>2865430000</v>
          </cell>
          <cell r="N993">
            <v>97872000000</v>
          </cell>
          <cell r="O993">
            <v>100737430000</v>
          </cell>
          <cell r="P993">
            <v>1541998000</v>
          </cell>
          <cell r="R993">
            <v>1541998000</v>
          </cell>
          <cell r="S993">
            <v>973126000</v>
          </cell>
          <cell r="U993">
            <v>973126000</v>
          </cell>
          <cell r="V993">
            <v>125805000</v>
          </cell>
          <cell r="X993">
            <v>125805000</v>
          </cell>
          <cell r="Y993">
            <v>320556000</v>
          </cell>
          <cell r="AA993">
            <v>320556000</v>
          </cell>
          <cell r="AB993">
            <v>16732000</v>
          </cell>
          <cell r="AD993">
            <v>16732000</v>
          </cell>
          <cell r="AE993">
            <v>22087000</v>
          </cell>
          <cell r="AG993">
            <v>22087000</v>
          </cell>
          <cell r="AK993">
            <v>37228543</v>
          </cell>
          <cell r="AL993">
            <v>3089010</v>
          </cell>
        </row>
        <row r="994">
          <cell r="B994">
            <v>44879</v>
          </cell>
          <cell r="C994">
            <v>26235482000</v>
          </cell>
          <cell r="D994">
            <v>84438627550</v>
          </cell>
          <cell r="G994">
            <v>110674109550</v>
          </cell>
          <cell r="H994">
            <v>29882010</v>
          </cell>
          <cell r="I994">
            <v>3900751000</v>
          </cell>
          <cell r="J994">
            <v>14402100000</v>
          </cell>
          <cell r="K994">
            <v>18302851000</v>
          </cell>
          <cell r="M994">
            <v>6768862000</v>
          </cell>
          <cell r="N994">
            <v>90675000000</v>
          </cell>
          <cell r="O994">
            <v>97443862000</v>
          </cell>
          <cell r="P994">
            <v>5690413000</v>
          </cell>
          <cell r="R994">
            <v>5690413000</v>
          </cell>
          <cell r="S994">
            <v>1130866000</v>
          </cell>
          <cell r="U994">
            <v>1130866000</v>
          </cell>
          <cell r="V994">
            <v>129245000</v>
          </cell>
          <cell r="X994">
            <v>129245000</v>
          </cell>
          <cell r="Y994">
            <v>303220000</v>
          </cell>
          <cell r="AA994">
            <v>303220000</v>
          </cell>
          <cell r="AB994">
            <v>42274000</v>
          </cell>
          <cell r="AD994">
            <v>42274000</v>
          </cell>
          <cell r="AE994">
            <v>0</v>
          </cell>
          <cell r="AK994">
            <v>20854166</v>
          </cell>
          <cell r="AL994">
            <v>1931670</v>
          </cell>
        </row>
        <row r="995">
          <cell r="B995">
            <v>44880</v>
          </cell>
          <cell r="C995">
            <v>44278755000</v>
          </cell>
          <cell r="D995">
            <v>153380925000</v>
          </cell>
          <cell r="G995">
            <v>197659680000</v>
          </cell>
          <cell r="H995">
            <v>53368114</v>
          </cell>
          <cell r="I995">
            <v>0</v>
          </cell>
          <cell r="J995">
            <v>18530000000</v>
          </cell>
          <cell r="K995">
            <v>18530000000</v>
          </cell>
          <cell r="M995">
            <v>9448494000</v>
          </cell>
          <cell r="N995">
            <v>101640900000</v>
          </cell>
          <cell r="O995">
            <v>111089394000</v>
          </cell>
          <cell r="P995">
            <v>4283549000</v>
          </cell>
          <cell r="R995">
            <v>4283549000</v>
          </cell>
          <cell r="S995">
            <v>927899000</v>
          </cell>
          <cell r="U995">
            <v>927899000</v>
          </cell>
          <cell r="V995">
            <v>91609000</v>
          </cell>
          <cell r="X995">
            <v>91609000</v>
          </cell>
          <cell r="Y995">
            <v>341453000</v>
          </cell>
          <cell r="AA995">
            <v>341453000</v>
          </cell>
          <cell r="AB995">
            <v>124908000</v>
          </cell>
          <cell r="AD995">
            <v>124908000</v>
          </cell>
          <cell r="AE995">
            <v>187000000</v>
          </cell>
          <cell r="AG995">
            <v>187000000</v>
          </cell>
          <cell r="AK995">
            <v>23294492</v>
          </cell>
          <cell r="AL995">
            <v>1994970</v>
          </cell>
        </row>
        <row r="996">
          <cell r="B996">
            <v>44881</v>
          </cell>
          <cell r="C996">
            <v>81981004000</v>
          </cell>
          <cell r="D996">
            <v>83699380000</v>
          </cell>
          <cell r="G996">
            <v>165680384000</v>
          </cell>
          <cell r="H996">
            <v>44733704</v>
          </cell>
          <cell r="I996">
            <v>6218048000</v>
          </cell>
          <cell r="J996">
            <v>66993000000</v>
          </cell>
          <cell r="K996">
            <v>73211048000</v>
          </cell>
          <cell r="M996">
            <v>5049517000</v>
          </cell>
          <cell r="N996">
            <v>79749800000</v>
          </cell>
          <cell r="O996">
            <v>84799317000</v>
          </cell>
          <cell r="P996">
            <v>449310000</v>
          </cell>
          <cell r="R996">
            <v>449310000</v>
          </cell>
          <cell r="S996">
            <v>791339000</v>
          </cell>
          <cell r="U996">
            <v>791339000</v>
          </cell>
          <cell r="V996">
            <v>161208000</v>
          </cell>
          <cell r="X996">
            <v>161208000</v>
          </cell>
          <cell r="Y996">
            <v>324793000</v>
          </cell>
          <cell r="AA996">
            <v>324793000</v>
          </cell>
          <cell r="AB996">
            <v>45103000</v>
          </cell>
          <cell r="AD996">
            <v>45103000</v>
          </cell>
          <cell r="AE996">
            <v>0</v>
          </cell>
          <cell r="AK996">
            <v>27821950</v>
          </cell>
          <cell r="AL996">
            <v>3024600</v>
          </cell>
        </row>
        <row r="997">
          <cell r="B997">
            <v>44882</v>
          </cell>
          <cell r="C997">
            <v>142936524000</v>
          </cell>
          <cell r="D997">
            <v>95152285000</v>
          </cell>
          <cell r="G997">
            <v>238088809000</v>
          </cell>
          <cell r="H997">
            <v>64283978</v>
          </cell>
          <cell r="I997">
            <v>6164443000</v>
          </cell>
          <cell r="J997">
            <v>42672300000</v>
          </cell>
          <cell r="K997">
            <v>48836743000</v>
          </cell>
          <cell r="M997">
            <v>4113596000</v>
          </cell>
          <cell r="N997">
            <v>32209400000</v>
          </cell>
          <cell r="O997">
            <v>36322996000</v>
          </cell>
          <cell r="P997">
            <v>3197712000</v>
          </cell>
          <cell r="R997">
            <v>3197712000</v>
          </cell>
          <cell r="S997">
            <v>982186000</v>
          </cell>
          <cell r="U997">
            <v>982186000</v>
          </cell>
          <cell r="V997">
            <v>114197000</v>
          </cell>
          <cell r="X997">
            <v>114197000</v>
          </cell>
          <cell r="Y997">
            <v>323600000</v>
          </cell>
          <cell r="Z997">
            <v>40748400000</v>
          </cell>
          <cell r="AA997">
            <v>41072000000</v>
          </cell>
          <cell r="AB997">
            <v>150694000</v>
          </cell>
          <cell r="AD997">
            <v>150694000</v>
          </cell>
          <cell r="AE997">
            <v>383084000</v>
          </cell>
          <cell r="AG997">
            <v>383084000</v>
          </cell>
          <cell r="AK997">
            <v>22479805</v>
          </cell>
          <cell r="AL997">
            <v>2909430</v>
          </cell>
        </row>
        <row r="998">
          <cell r="C998">
            <v>321735810000</v>
          </cell>
          <cell r="D998">
            <v>434469477550</v>
          </cell>
          <cell r="E998">
            <v>0</v>
          </cell>
          <cell r="F998">
            <v>0</v>
          </cell>
          <cell r="G998">
            <v>756205287550</v>
          </cell>
          <cell r="H998">
            <v>204175428</v>
          </cell>
          <cell r="I998">
            <v>17649242000</v>
          </cell>
          <cell r="J998">
            <v>247211600000</v>
          </cell>
          <cell r="K998">
            <v>264860842000</v>
          </cell>
          <cell r="L998">
            <v>0</v>
          </cell>
          <cell r="M998">
            <v>28245899000</v>
          </cell>
          <cell r="N998">
            <v>402147100000</v>
          </cell>
          <cell r="O998">
            <v>430392999000</v>
          </cell>
          <cell r="P998">
            <v>15162982000</v>
          </cell>
          <cell r="Q998">
            <v>0</v>
          </cell>
          <cell r="R998">
            <v>15162982000</v>
          </cell>
          <cell r="S998">
            <v>4805416000</v>
          </cell>
          <cell r="T998">
            <v>0</v>
          </cell>
          <cell r="U998">
            <v>4805416000</v>
          </cell>
          <cell r="V998">
            <v>622064000</v>
          </cell>
          <cell r="W998">
            <v>0</v>
          </cell>
          <cell r="X998">
            <v>622064000</v>
          </cell>
          <cell r="Y998">
            <v>1613622000</v>
          </cell>
          <cell r="Z998">
            <v>40748400000</v>
          </cell>
          <cell r="AA998">
            <v>42362022000</v>
          </cell>
          <cell r="AB998">
            <v>379711000</v>
          </cell>
          <cell r="AC998">
            <v>0</v>
          </cell>
          <cell r="AD998">
            <v>379711000</v>
          </cell>
          <cell r="AE998">
            <v>592171000</v>
          </cell>
          <cell r="AF998">
            <v>0</v>
          </cell>
          <cell r="AG998">
            <v>592171000</v>
          </cell>
          <cell r="AK998">
            <v>131678956</v>
          </cell>
          <cell r="AL998">
            <v>12949680</v>
          </cell>
        </row>
        <row r="999">
          <cell r="B999">
            <v>44883</v>
          </cell>
          <cell r="C999">
            <v>39094726000</v>
          </cell>
          <cell r="D999">
            <v>62962905000</v>
          </cell>
          <cell r="G999">
            <v>102057631000</v>
          </cell>
          <cell r="H999">
            <v>27555560</v>
          </cell>
          <cell r="I999">
            <v>214850000</v>
          </cell>
          <cell r="J999">
            <v>17919200000</v>
          </cell>
          <cell r="K999">
            <v>18134050000</v>
          </cell>
          <cell r="M999">
            <v>20556000</v>
          </cell>
          <cell r="N999">
            <v>34301000000</v>
          </cell>
          <cell r="O999">
            <v>34321556000</v>
          </cell>
          <cell r="P999">
            <v>2837259000</v>
          </cell>
          <cell r="R999">
            <v>2837259000</v>
          </cell>
          <cell r="S999">
            <v>533261000</v>
          </cell>
          <cell r="U999">
            <v>533261000</v>
          </cell>
          <cell r="V999">
            <v>153366000</v>
          </cell>
          <cell r="X999">
            <v>153366000</v>
          </cell>
          <cell r="Y999">
            <v>504567000</v>
          </cell>
          <cell r="AA999">
            <v>504567000</v>
          </cell>
          <cell r="AB999">
            <v>132182000</v>
          </cell>
          <cell r="AD999">
            <v>132182000</v>
          </cell>
          <cell r="AE999">
            <v>0</v>
          </cell>
          <cell r="AF999">
            <v>41944860000</v>
          </cell>
          <cell r="AG999">
            <v>41944860000</v>
          </cell>
          <cell r="AK999">
            <v>17424483</v>
          </cell>
          <cell r="AL999">
            <v>2693910</v>
          </cell>
        </row>
        <row r="1000">
          <cell r="B1000">
            <v>44886</v>
          </cell>
          <cell r="C1000">
            <v>82099390000</v>
          </cell>
          <cell r="D1000">
            <v>45967445820</v>
          </cell>
          <cell r="G1000">
            <v>128066835820</v>
          </cell>
          <cell r="H1000">
            <v>34578046</v>
          </cell>
          <cell r="I1000">
            <v>1434813000</v>
          </cell>
          <cell r="J1000">
            <v>17899600000</v>
          </cell>
          <cell r="K1000">
            <v>19334413000</v>
          </cell>
          <cell r="M1000">
            <v>45080000</v>
          </cell>
          <cell r="N1000">
            <v>36401000000</v>
          </cell>
          <cell r="O1000">
            <v>36446080000</v>
          </cell>
          <cell r="P1000">
            <v>504822000</v>
          </cell>
          <cell r="R1000">
            <v>504822000</v>
          </cell>
          <cell r="S1000">
            <v>971077000</v>
          </cell>
          <cell r="U1000">
            <v>971077000</v>
          </cell>
          <cell r="V1000">
            <v>252496000</v>
          </cell>
          <cell r="X1000">
            <v>252496000</v>
          </cell>
          <cell r="Y1000">
            <v>356964000</v>
          </cell>
          <cell r="AA1000">
            <v>356964000</v>
          </cell>
          <cell r="AB1000">
            <v>22949000</v>
          </cell>
          <cell r="AD1000">
            <v>22949000</v>
          </cell>
          <cell r="AE1000">
            <v>380500000</v>
          </cell>
          <cell r="AG1000">
            <v>380500000</v>
          </cell>
          <cell r="AK1000">
            <v>10202728</v>
          </cell>
          <cell r="AL1000">
            <v>1968450</v>
          </cell>
        </row>
        <row r="1520">
          <cell r="C1520">
            <v>69621765000</v>
          </cell>
          <cell r="D1520">
            <v>0</v>
          </cell>
          <cell r="E1520">
            <v>0</v>
          </cell>
          <cell r="F1520">
            <v>0</v>
          </cell>
          <cell r="G1520">
            <v>69621765000</v>
          </cell>
          <cell r="H1520">
            <v>18797877</v>
          </cell>
          <cell r="I1520">
            <v>4482800000</v>
          </cell>
          <cell r="J1520">
            <v>25282450000</v>
          </cell>
          <cell r="K1520">
            <v>29765250000</v>
          </cell>
          <cell r="M1520">
            <v>19926817000</v>
          </cell>
          <cell r="N1520">
            <v>0</v>
          </cell>
          <cell r="O1520">
            <v>19926817000</v>
          </cell>
          <cell r="P1520">
            <v>1433022000</v>
          </cell>
          <cell r="Q1520">
            <v>0</v>
          </cell>
          <cell r="R1520">
            <v>1433022000</v>
          </cell>
          <cell r="S1520">
            <v>264774000</v>
          </cell>
          <cell r="T1520">
            <v>0</v>
          </cell>
          <cell r="U1520">
            <v>264774000</v>
          </cell>
          <cell r="V1520">
            <v>48508000</v>
          </cell>
          <cell r="W1520">
            <v>0</v>
          </cell>
          <cell r="X1520">
            <v>48508000</v>
          </cell>
          <cell r="Y1520">
            <v>0</v>
          </cell>
          <cell r="Z1520">
            <v>10854900000</v>
          </cell>
          <cell r="AA1520">
            <v>10854900000</v>
          </cell>
          <cell r="AB1520">
            <v>85318000</v>
          </cell>
          <cell r="AC1520">
            <v>0</v>
          </cell>
          <cell r="AD1520">
            <v>85318000</v>
          </cell>
          <cell r="AE1520">
            <v>587000000</v>
          </cell>
          <cell r="AF1520">
            <v>0</v>
          </cell>
          <cell r="AG1520">
            <v>587000000</v>
          </cell>
          <cell r="AH1520">
            <v>131488000</v>
          </cell>
          <cell r="AI1520">
            <v>0</v>
          </cell>
          <cell r="AJ1520">
            <v>131488000</v>
          </cell>
          <cell r="AK1520">
            <v>9416374</v>
          </cell>
          <cell r="AL1520">
            <v>0</v>
          </cell>
          <cell r="AM1520">
            <v>44933</v>
          </cell>
          <cell r="AN1520">
            <v>1005</v>
          </cell>
          <cell r="AO1520">
            <v>35886150</v>
          </cell>
          <cell r="AP1520">
            <v>2713500</v>
          </cell>
          <cell r="AR1520">
            <v>32033770037600</v>
          </cell>
          <cell r="AS1520">
            <v>160425361180</v>
          </cell>
          <cell r="AT1520">
            <v>99388940000</v>
          </cell>
          <cell r="AU1520">
            <v>169010705000</v>
          </cell>
        </row>
        <row r="1526">
          <cell r="C1526">
            <v>67079133000</v>
          </cell>
          <cell r="D1526">
            <v>0</v>
          </cell>
          <cell r="E1526">
            <v>0</v>
          </cell>
          <cell r="F1526">
            <v>2136295000</v>
          </cell>
          <cell r="G1526">
            <v>69215428000</v>
          </cell>
          <cell r="H1526">
            <v>18688166</v>
          </cell>
          <cell r="I1526">
            <v>15077494000</v>
          </cell>
          <cell r="J1526">
            <v>4468600000</v>
          </cell>
          <cell r="K1526">
            <v>19546094000</v>
          </cell>
          <cell r="M1526">
            <v>50509747000</v>
          </cell>
          <cell r="N1526">
            <v>0</v>
          </cell>
          <cell r="O1526">
            <v>50509747000</v>
          </cell>
          <cell r="P1526">
            <v>14040253000</v>
          </cell>
          <cell r="Q1526">
            <v>0</v>
          </cell>
          <cell r="R1526">
            <v>14040253000</v>
          </cell>
          <cell r="S1526">
            <v>1615039000</v>
          </cell>
          <cell r="T1526">
            <v>0</v>
          </cell>
          <cell r="U1526">
            <v>1615039000</v>
          </cell>
          <cell r="V1526">
            <v>237264000</v>
          </cell>
          <cell r="W1526">
            <v>0</v>
          </cell>
          <cell r="X1526">
            <v>237264000</v>
          </cell>
          <cell r="Y1526">
            <v>175979000</v>
          </cell>
          <cell r="Z1526">
            <v>0</v>
          </cell>
          <cell r="AA1526">
            <v>175979000</v>
          </cell>
          <cell r="AB1526">
            <v>128612000</v>
          </cell>
          <cell r="AC1526">
            <v>0</v>
          </cell>
          <cell r="AD1526">
            <v>128612000</v>
          </cell>
          <cell r="AE1526">
            <v>2420000</v>
          </cell>
          <cell r="AF1526">
            <v>0</v>
          </cell>
          <cell r="AG1526">
            <v>2420000</v>
          </cell>
          <cell r="AH1526">
            <v>26910000</v>
          </cell>
          <cell r="AI1526">
            <v>0</v>
          </cell>
          <cell r="AJ1526">
            <v>26910000</v>
          </cell>
          <cell r="AK1526">
            <v>9640230</v>
          </cell>
          <cell r="AL1526">
            <v>0</v>
          </cell>
          <cell r="AM1526">
            <v>44933</v>
          </cell>
          <cell r="AN1526">
            <v>1132</v>
          </cell>
          <cell r="AO1526">
            <v>23271300</v>
          </cell>
          <cell r="AP1526">
            <v>3056400</v>
          </cell>
          <cell r="AR1526">
            <v>51921223324000</v>
          </cell>
          <cell r="AS1526">
            <v>208979534760</v>
          </cell>
          <cell r="AT1526">
            <v>91082235000</v>
          </cell>
          <cell r="AU1526">
            <v>160297663000</v>
          </cell>
        </row>
        <row r="1532">
          <cell r="C1532">
            <v>142133706000</v>
          </cell>
          <cell r="D1532">
            <v>6461830600</v>
          </cell>
          <cell r="E1532">
            <v>0</v>
          </cell>
          <cell r="F1532">
            <v>9474885050</v>
          </cell>
          <cell r="G1532">
            <v>158070421650</v>
          </cell>
          <cell r="H1532">
            <v>42679014</v>
          </cell>
          <cell r="I1532">
            <v>1795636000</v>
          </cell>
          <cell r="J1532">
            <v>13758000000</v>
          </cell>
          <cell r="K1532">
            <v>15553636000</v>
          </cell>
          <cell r="M1532">
            <v>31897460000</v>
          </cell>
          <cell r="N1532">
            <v>0</v>
          </cell>
          <cell r="O1532">
            <v>31897460000</v>
          </cell>
          <cell r="P1532">
            <v>3582613000</v>
          </cell>
          <cell r="Q1532">
            <v>1037400000</v>
          </cell>
          <cell r="R1532">
            <v>4620013000</v>
          </cell>
          <cell r="S1532">
            <v>791825000</v>
          </cell>
          <cell r="T1532">
            <v>0</v>
          </cell>
          <cell r="U1532">
            <v>791825000</v>
          </cell>
          <cell r="V1532">
            <v>8099657000</v>
          </cell>
          <cell r="W1532">
            <v>0</v>
          </cell>
          <cell r="X1532">
            <v>8099657000</v>
          </cell>
          <cell r="Y1532">
            <v>52494000</v>
          </cell>
          <cell r="Z1532">
            <v>0</v>
          </cell>
          <cell r="AA1532">
            <v>52494000</v>
          </cell>
          <cell r="AB1532">
            <v>309108000</v>
          </cell>
          <cell r="AC1532">
            <v>0</v>
          </cell>
          <cell r="AD1532">
            <v>309108000</v>
          </cell>
          <cell r="AE1532">
            <v>0</v>
          </cell>
          <cell r="AF1532">
            <v>0</v>
          </cell>
          <cell r="AG1532">
            <v>0</v>
          </cell>
          <cell r="AH1532">
            <v>0</v>
          </cell>
          <cell r="AI1532">
            <v>703650000</v>
          </cell>
          <cell r="AJ1532">
            <v>703650000</v>
          </cell>
          <cell r="AK1532">
            <v>7814939</v>
          </cell>
          <cell r="AL1532">
            <v>0</v>
          </cell>
          <cell r="AM1532">
            <v>44933</v>
          </cell>
          <cell r="AN1532">
            <v>1567</v>
          </cell>
          <cell r="AO1532">
            <v>27157500</v>
          </cell>
          <cell r="AP1532">
            <v>4230900</v>
          </cell>
          <cell r="AR1532">
            <v>37409070811000</v>
          </cell>
          <cell r="AS1532">
            <v>140638679500</v>
          </cell>
          <cell r="AT1532">
            <v>86035180000</v>
          </cell>
          <cell r="AU1532">
            <v>244105601650</v>
          </cell>
        </row>
        <row r="1535">
          <cell r="C1535">
            <v>171012599000</v>
          </cell>
          <cell r="D1535">
            <v>0</v>
          </cell>
          <cell r="E1535">
            <v>0</v>
          </cell>
          <cell r="F1535">
            <v>0</v>
          </cell>
          <cell r="G1535">
            <v>171012599000</v>
          </cell>
          <cell r="H1535">
            <v>46173402</v>
          </cell>
          <cell r="I1535">
            <v>445585000</v>
          </cell>
          <cell r="J1535">
            <v>38337080000</v>
          </cell>
          <cell r="K1535">
            <v>38782665000</v>
          </cell>
          <cell r="M1535">
            <v>6747453000</v>
          </cell>
          <cell r="N1535">
            <v>3330900000</v>
          </cell>
          <cell r="O1535">
            <v>10078353000</v>
          </cell>
          <cell r="P1535">
            <v>8456433000</v>
          </cell>
          <cell r="Q1535">
            <v>0</v>
          </cell>
          <cell r="R1535">
            <v>8456433000</v>
          </cell>
          <cell r="S1535">
            <v>3312279000</v>
          </cell>
          <cell r="T1535">
            <v>0</v>
          </cell>
          <cell r="U1535">
            <v>3312279000</v>
          </cell>
          <cell r="V1535">
            <v>8363986000</v>
          </cell>
          <cell r="W1535">
            <v>0</v>
          </cell>
          <cell r="X1535">
            <v>8363986000</v>
          </cell>
          <cell r="Y1535">
            <v>84582000</v>
          </cell>
          <cell r="Z1535">
            <v>8830000000</v>
          </cell>
          <cell r="AA1535">
            <v>8914582000</v>
          </cell>
          <cell r="AB1535">
            <v>57602000</v>
          </cell>
          <cell r="AC1535">
            <v>0</v>
          </cell>
          <cell r="AD1535">
            <v>57602000</v>
          </cell>
          <cell r="AE1535">
            <v>1254000</v>
          </cell>
          <cell r="AF1535">
            <v>0</v>
          </cell>
          <cell r="AG1535">
            <v>1254000</v>
          </cell>
          <cell r="AH1535">
            <v>0</v>
          </cell>
          <cell r="AI1535">
            <v>0</v>
          </cell>
          <cell r="AJ1535">
            <v>0</v>
          </cell>
          <cell r="AK1535">
            <v>12056307</v>
          </cell>
          <cell r="AL1535">
            <v>0</v>
          </cell>
          <cell r="AM1535">
            <v>44933</v>
          </cell>
          <cell r="AN1535">
            <v>1592</v>
          </cell>
          <cell r="AO1535">
            <v>9656850</v>
          </cell>
          <cell r="AP1535">
            <v>4298400</v>
          </cell>
          <cell r="AR1535">
            <v>35996162334800</v>
          </cell>
          <cell r="AS1535">
            <v>202194423840</v>
          </cell>
          <cell r="AT1535">
            <v>137503303000</v>
          </cell>
          <cell r="AU1535">
            <v>308515902000</v>
          </cell>
        </row>
        <row r="1538">
          <cell r="C1538">
            <v>49729779999.980011</v>
          </cell>
          <cell r="D1538">
            <v>2864061600</v>
          </cell>
          <cell r="E1538">
            <v>1188100000</v>
          </cell>
          <cell r="F1538">
            <v>2563125000</v>
          </cell>
          <cell r="G1538">
            <v>56345066599.980011</v>
          </cell>
          <cell r="H1538">
            <v>15213168</v>
          </cell>
          <cell r="I1538">
            <v>2501154000</v>
          </cell>
          <cell r="J1538">
            <v>4633800000</v>
          </cell>
          <cell r="K1538">
            <v>7134954000</v>
          </cell>
          <cell r="M1538">
            <v>8175415000</v>
          </cell>
          <cell r="N1538">
            <v>0</v>
          </cell>
          <cell r="O1538">
            <v>8175415000</v>
          </cell>
          <cell r="P1538">
            <v>12035064000</v>
          </cell>
          <cell r="Q1538">
            <v>0</v>
          </cell>
          <cell r="R1538">
            <v>12035064000</v>
          </cell>
          <cell r="S1538">
            <v>2249891000</v>
          </cell>
          <cell r="T1538">
            <v>0</v>
          </cell>
          <cell r="U1538">
            <v>2249891000</v>
          </cell>
          <cell r="V1538">
            <v>59525000</v>
          </cell>
          <cell r="W1538">
            <v>0</v>
          </cell>
          <cell r="X1538">
            <v>59525000</v>
          </cell>
          <cell r="Y1538">
            <v>65714000</v>
          </cell>
          <cell r="Z1538">
            <v>0</v>
          </cell>
          <cell r="AA1538">
            <v>65714000</v>
          </cell>
          <cell r="AB1538">
            <v>4843000</v>
          </cell>
          <cell r="AC1538">
            <v>23950000000</v>
          </cell>
          <cell r="AD1538">
            <v>23954843000</v>
          </cell>
          <cell r="AE1538">
            <v>1251000</v>
          </cell>
          <cell r="AF1538">
            <v>0</v>
          </cell>
          <cell r="AG1538">
            <v>1251000</v>
          </cell>
          <cell r="AH1538">
            <v>280000000</v>
          </cell>
          <cell r="AI1538">
            <v>0</v>
          </cell>
          <cell r="AJ1538">
            <v>280000000</v>
          </cell>
          <cell r="AK1538">
            <v>7885353</v>
          </cell>
          <cell r="AL1538">
            <v>0</v>
          </cell>
          <cell r="AM1538">
            <v>44933</v>
          </cell>
          <cell r="AN1538">
            <v>461</v>
          </cell>
          <cell r="AO1538">
            <v>34149600</v>
          </cell>
          <cell r="AP1538">
            <v>1244700</v>
          </cell>
          <cell r="AR1538">
            <v>30161283655200</v>
          </cell>
          <cell r="AS1538">
            <v>240300212440</v>
          </cell>
          <cell r="AT1538">
            <v>83437727000</v>
          </cell>
          <cell r="AU1538">
            <v>139782793599.98001</v>
          </cell>
        </row>
      </sheetData>
      <sheetData sheetId="60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1272"/>
  <sheetViews>
    <sheetView tabSelected="1" zoomScaleNormal="100" workbookViewId="0">
      <pane xSplit="1" ySplit="4" topLeftCell="AH1256" activePane="bottomRight" state="frozen"/>
      <selection pane="topRight" activeCell="B1" sqref="B1"/>
      <selection pane="bottomLeft" activeCell="A5" sqref="A5"/>
      <selection pane="bottomRight" activeCell="AM1280" sqref="AM1280"/>
    </sheetView>
  </sheetViews>
  <sheetFormatPr defaultColWidth="9.140625" defaultRowHeight="12.75"/>
  <cols>
    <col min="1" max="1" width="10.5703125" style="92" bestFit="1" customWidth="1"/>
    <col min="2" max="3" width="18.5703125" style="55" bestFit="1" customWidth="1"/>
    <col min="4" max="5" width="14.5703125" style="55" customWidth="1"/>
    <col min="6" max="6" width="18.5703125" style="55" bestFit="1" customWidth="1"/>
    <col min="7" max="7" width="15" style="55" bestFit="1" customWidth="1"/>
    <col min="8" max="8" width="17.5703125" style="55" bestFit="1" customWidth="1"/>
    <col min="9" max="10" width="18.5703125" style="55" bestFit="1" customWidth="1"/>
    <col min="11" max="11" width="14" style="55" bestFit="1" customWidth="1"/>
    <col min="12" max="12" width="17.5703125" style="55" bestFit="1" customWidth="1"/>
    <col min="13" max="13" width="15.85546875" style="55" bestFit="1" customWidth="1"/>
    <col min="14" max="14" width="18.5703125" style="55" bestFit="1" customWidth="1"/>
    <col min="15" max="18" width="17.5703125" style="55" bestFit="1" customWidth="1"/>
    <col min="19" max="20" width="13.7109375" style="55" customWidth="1"/>
    <col min="21" max="21" width="16.42578125" style="55" bestFit="1" customWidth="1"/>
    <col min="22" max="24" width="13.7109375" style="55" customWidth="1"/>
    <col min="25" max="25" width="17.5703125" style="55" bestFit="1" customWidth="1"/>
    <col min="26" max="26" width="15.5703125" style="55" bestFit="1" customWidth="1"/>
    <col min="27" max="35" width="13.7109375" style="55" customWidth="1"/>
    <col min="36" max="36" width="14" style="55" bestFit="1" customWidth="1"/>
    <col min="37" max="37" width="14.85546875" style="55" bestFit="1" customWidth="1"/>
    <col min="38" max="38" width="11.140625" style="55" bestFit="1" customWidth="1"/>
    <col min="39" max="41" width="14" style="55" bestFit="1" customWidth="1"/>
    <col min="42" max="42" width="21.5703125" style="55" bestFit="1" customWidth="1"/>
    <col min="43" max="43" width="22.28515625" style="55" bestFit="1" customWidth="1"/>
    <col min="44" max="44" width="20.140625" style="55" bestFit="1" customWidth="1"/>
    <col min="45" max="45" width="18.85546875" style="55" bestFit="1" customWidth="1"/>
    <col min="46" max="46" width="18.7109375" style="55" bestFit="1" customWidth="1"/>
    <col min="47" max="47" width="18.42578125" style="55" bestFit="1" customWidth="1"/>
    <col min="48" max="48" width="15.140625" style="55" bestFit="1" customWidth="1"/>
    <col min="49" max="49" width="9.140625" style="4"/>
    <col min="50" max="50" width="6" style="4" bestFit="1" customWidth="1"/>
    <col min="51" max="51" width="20" style="4" bestFit="1" customWidth="1"/>
    <col min="52" max="52" width="23" style="4" bestFit="1" customWidth="1"/>
    <col min="53" max="53" width="18" style="4" bestFit="1" customWidth="1"/>
    <col min="54" max="54" width="17.7109375" style="4" bestFit="1" customWidth="1"/>
    <col min="55" max="55" width="17.42578125" style="4" bestFit="1" customWidth="1"/>
    <col min="56" max="57" width="9.140625" style="4"/>
    <col min="58" max="58" width="15" style="4" bestFit="1" customWidth="1"/>
    <col min="59" max="59" width="32" style="4" bestFit="1" customWidth="1"/>
    <col min="60" max="16384" width="9.140625" style="4"/>
  </cols>
  <sheetData>
    <row r="1" spans="1:103" s="1" customFormat="1" ht="15">
      <c r="A1" s="93"/>
      <c r="B1" s="108" t="s">
        <v>67</v>
      </c>
      <c r="C1" s="108" t="s">
        <v>68</v>
      </c>
      <c r="D1" s="108" t="s">
        <v>69</v>
      </c>
      <c r="E1" s="2" t="s">
        <v>70</v>
      </c>
      <c r="F1" s="2" t="s">
        <v>71</v>
      </c>
      <c r="G1" s="40"/>
      <c r="H1" s="109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96"/>
      <c r="AM1" s="110"/>
      <c r="AN1" s="110"/>
      <c r="AO1" s="110"/>
      <c r="AP1" s="110"/>
      <c r="AQ1" s="96"/>
      <c r="AR1" s="3"/>
      <c r="AS1" s="3"/>
      <c r="AT1" s="3"/>
      <c r="AU1" s="97"/>
      <c r="AV1" s="98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81"/>
      <c r="BY1" s="81"/>
      <c r="BZ1" s="81"/>
      <c r="CA1" s="81"/>
      <c r="CB1" s="81"/>
      <c r="CC1" s="81"/>
      <c r="CD1" s="81"/>
      <c r="CE1" s="81"/>
      <c r="CF1" s="81"/>
      <c r="CG1" s="81"/>
      <c r="CH1" s="81"/>
      <c r="CI1" s="81"/>
      <c r="CJ1" s="81"/>
      <c r="CK1" s="81"/>
      <c r="CL1" s="81"/>
      <c r="CM1" s="81"/>
      <c r="CN1" s="81"/>
      <c r="CO1" s="81"/>
      <c r="CP1" s="81"/>
      <c r="CQ1" s="81"/>
      <c r="CR1" s="81"/>
      <c r="CS1" s="81"/>
      <c r="CT1" s="81"/>
      <c r="CU1" s="81"/>
      <c r="CV1" s="81"/>
      <c r="CW1" s="81"/>
      <c r="CX1" s="81"/>
      <c r="CY1" s="81"/>
    </row>
    <row r="2" spans="1:103" ht="20.25" thickBot="1">
      <c r="A2" s="94"/>
      <c r="B2" s="2"/>
      <c r="C2" s="2"/>
      <c r="D2" s="2"/>
      <c r="E2" s="2"/>
      <c r="F2" s="169" t="s">
        <v>0</v>
      </c>
      <c r="G2" s="170"/>
      <c r="H2" s="171" t="s">
        <v>1</v>
      </c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96"/>
      <c r="AL2" s="173" t="s">
        <v>2</v>
      </c>
      <c r="AM2" s="174"/>
      <c r="AN2" s="174"/>
      <c r="AO2" s="170"/>
      <c r="AP2" s="96"/>
      <c r="AQ2" s="3"/>
      <c r="AR2" s="3"/>
      <c r="AS2" s="3"/>
      <c r="AT2" s="3"/>
    </row>
    <row r="3" spans="1:103" ht="38.25" customHeight="1" thickBot="1">
      <c r="A3" s="175" t="s">
        <v>3</v>
      </c>
      <c r="B3" s="177" t="s">
        <v>4</v>
      </c>
      <c r="C3" s="177" t="s">
        <v>5</v>
      </c>
      <c r="D3" s="177" t="s">
        <v>6</v>
      </c>
      <c r="E3" s="177" t="s">
        <v>7</v>
      </c>
      <c r="F3" s="177" t="s">
        <v>8</v>
      </c>
      <c r="G3" s="177" t="s">
        <v>9</v>
      </c>
      <c r="H3" s="160" t="s">
        <v>10</v>
      </c>
      <c r="I3" s="161"/>
      <c r="J3" s="162"/>
      <c r="K3" s="178" t="s">
        <v>11</v>
      </c>
      <c r="L3" s="160" t="s">
        <v>12</v>
      </c>
      <c r="M3" s="161"/>
      <c r="N3" s="162"/>
      <c r="O3" s="160" t="s">
        <v>13</v>
      </c>
      <c r="P3" s="161"/>
      <c r="Q3" s="162"/>
      <c r="R3" s="111" t="s">
        <v>14</v>
      </c>
      <c r="S3" s="112"/>
      <c r="T3" s="112"/>
      <c r="U3" s="160" t="s">
        <v>56</v>
      </c>
      <c r="V3" s="161"/>
      <c r="W3" s="162"/>
      <c r="X3" s="166" t="s">
        <v>57</v>
      </c>
      <c r="Y3" s="167"/>
      <c r="Z3" s="168"/>
      <c r="AA3" s="166" t="s">
        <v>65</v>
      </c>
      <c r="AB3" s="167"/>
      <c r="AC3" s="168"/>
      <c r="AD3" s="166" t="s">
        <v>66</v>
      </c>
      <c r="AE3" s="167"/>
      <c r="AF3" s="168"/>
      <c r="AG3" s="166" t="s">
        <v>72</v>
      </c>
      <c r="AH3" s="167"/>
      <c r="AI3" s="168"/>
      <c r="AJ3" s="160" t="s">
        <v>9</v>
      </c>
      <c r="AK3" s="157" t="s">
        <v>15</v>
      </c>
      <c r="AL3" s="159" t="s">
        <v>3</v>
      </c>
      <c r="AM3" s="159" t="s">
        <v>16</v>
      </c>
      <c r="AN3" s="159" t="s">
        <v>17</v>
      </c>
      <c r="AO3" s="159" t="s">
        <v>9</v>
      </c>
      <c r="AP3" s="157" t="s">
        <v>18</v>
      </c>
      <c r="AQ3" s="165" t="s">
        <v>19</v>
      </c>
      <c r="AR3" s="165" t="s">
        <v>20</v>
      </c>
      <c r="AS3" s="165" t="s">
        <v>21</v>
      </c>
      <c r="AT3" s="163" t="s">
        <v>22</v>
      </c>
      <c r="AU3" s="55" t="s">
        <v>23</v>
      </c>
      <c r="AV3" s="55" t="s">
        <v>24</v>
      </c>
    </row>
    <row r="4" spans="1:103" ht="38.25" customHeight="1" thickBot="1">
      <c r="A4" s="176"/>
      <c r="B4" s="158"/>
      <c r="C4" s="158"/>
      <c r="D4" s="158"/>
      <c r="E4" s="158"/>
      <c r="F4" s="158"/>
      <c r="G4" s="158"/>
      <c r="H4" s="113" t="s">
        <v>25</v>
      </c>
      <c r="I4" s="113" t="s">
        <v>26</v>
      </c>
      <c r="J4" s="113" t="s">
        <v>8</v>
      </c>
      <c r="K4" s="179"/>
      <c r="L4" s="113" t="s">
        <v>25</v>
      </c>
      <c r="M4" s="113" t="s">
        <v>26</v>
      </c>
      <c r="N4" s="113" t="s">
        <v>8</v>
      </c>
      <c r="O4" s="113" t="s">
        <v>25</v>
      </c>
      <c r="P4" s="113" t="s">
        <v>26</v>
      </c>
      <c r="Q4" s="113" t="s">
        <v>8</v>
      </c>
      <c r="R4" s="114"/>
      <c r="S4" s="114"/>
      <c r="T4" s="114"/>
      <c r="U4" s="113" t="s">
        <v>25</v>
      </c>
      <c r="V4" s="113" t="s">
        <v>26</v>
      </c>
      <c r="W4" s="113" t="s">
        <v>8</v>
      </c>
      <c r="X4" s="113" t="s">
        <v>25</v>
      </c>
      <c r="Y4" s="113" t="s">
        <v>26</v>
      </c>
      <c r="Z4" s="113" t="s">
        <v>8</v>
      </c>
      <c r="AA4" s="113" t="s">
        <v>25</v>
      </c>
      <c r="AB4" s="113" t="s">
        <v>26</v>
      </c>
      <c r="AC4" s="113" t="s">
        <v>8</v>
      </c>
      <c r="AD4" s="113" t="s">
        <v>25</v>
      </c>
      <c r="AE4" s="113" t="s">
        <v>26</v>
      </c>
      <c r="AF4" s="113" t="s">
        <v>8</v>
      </c>
      <c r="AG4" s="113" t="s">
        <v>25</v>
      </c>
      <c r="AH4" s="113" t="s">
        <v>26</v>
      </c>
      <c r="AI4" s="113" t="s">
        <v>8</v>
      </c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64"/>
    </row>
    <row r="5" spans="1:103">
      <c r="A5" s="5">
        <v>43670</v>
      </c>
      <c r="B5" s="6"/>
      <c r="C5" s="6">
        <v>995897500</v>
      </c>
      <c r="D5" s="6"/>
      <c r="E5" s="6"/>
      <c r="F5" s="7">
        <f>B5+C5</f>
        <v>995897500</v>
      </c>
      <c r="G5" s="7">
        <f>ROUND(F5*0.03%,0)</f>
        <v>298769</v>
      </c>
      <c r="H5" s="8"/>
      <c r="I5" s="8"/>
      <c r="J5" s="8">
        <f>H5+I5</f>
        <v>0</v>
      </c>
      <c r="K5" s="8"/>
      <c r="L5" s="8"/>
      <c r="M5" s="8"/>
      <c r="N5" s="8"/>
      <c r="O5" s="8">
        <f>ROUND(H5*0.02%+I5*0.02%+K5*0.02%,0)</f>
        <v>0</v>
      </c>
      <c r="P5" s="9">
        <v>0</v>
      </c>
      <c r="Q5" s="11">
        <v>43670</v>
      </c>
      <c r="R5" s="11">
        <v>12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>
        <v>36000</v>
      </c>
      <c r="AK5" s="11">
        <f t="shared" ref="AK5:AK36" si="0">R5*3000</f>
        <v>36000</v>
      </c>
      <c r="AL5" s="11"/>
      <c r="AM5" s="9"/>
      <c r="AN5" s="12">
        <f t="shared" ref="AN5:AN68" si="1">AM5+AL5+AK5+AJ5+P5+O5+G5</f>
        <v>370769</v>
      </c>
      <c r="AO5" s="99">
        <f>AN5</f>
        <v>370769</v>
      </c>
      <c r="AP5" s="99"/>
      <c r="AU5" s="12">
        <v>370769</v>
      </c>
      <c r="AV5" s="99">
        <v>370769</v>
      </c>
    </row>
    <row r="6" spans="1:103">
      <c r="A6" s="10">
        <v>43671</v>
      </c>
      <c r="B6" s="6"/>
      <c r="C6" s="6"/>
      <c r="D6" s="6"/>
      <c r="E6" s="6"/>
      <c r="F6" s="7">
        <f>B6+C6</f>
        <v>0</v>
      </c>
      <c r="G6" s="7">
        <f>ROUND(F6*0.03%,0)</f>
        <v>0</v>
      </c>
      <c r="H6" s="8"/>
      <c r="I6" s="8"/>
      <c r="J6" s="8">
        <f>H6+I6</f>
        <v>0</v>
      </c>
      <c r="K6" s="8"/>
      <c r="L6" s="8"/>
      <c r="M6" s="8"/>
      <c r="N6" s="8"/>
      <c r="O6" s="8">
        <f>ROUND(H6*0.02%+I6*0.02%+K6*0.02%,0)</f>
        <v>0</v>
      </c>
      <c r="P6" s="9"/>
      <c r="Q6" s="11">
        <v>43671</v>
      </c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>
        <v>36000</v>
      </c>
      <c r="AK6" s="11">
        <f t="shared" si="0"/>
        <v>0</v>
      </c>
      <c r="AL6" s="11"/>
      <c r="AM6" s="9"/>
      <c r="AN6" s="12">
        <f t="shared" si="1"/>
        <v>36000</v>
      </c>
      <c r="AO6" s="99">
        <f t="shared" ref="AO6:AO69" si="2">AO5+AN6</f>
        <v>406769</v>
      </c>
      <c r="AP6" s="99"/>
      <c r="AU6" s="12">
        <v>36000</v>
      </c>
      <c r="AV6" s="99">
        <v>406769</v>
      </c>
    </row>
    <row r="7" spans="1:103">
      <c r="A7" s="10">
        <v>43672</v>
      </c>
      <c r="B7" s="6"/>
      <c r="C7" s="6"/>
      <c r="D7" s="6"/>
      <c r="E7" s="6"/>
      <c r="F7" s="7">
        <f>B7+C7</f>
        <v>0</v>
      </c>
      <c r="G7" s="7">
        <f>ROUND(F7*0.03%,0)</f>
        <v>0</v>
      </c>
      <c r="H7" s="8"/>
      <c r="I7" s="8"/>
      <c r="J7" s="8">
        <f>H7+I7</f>
        <v>0</v>
      </c>
      <c r="K7" s="8"/>
      <c r="L7" s="8"/>
      <c r="M7" s="8"/>
      <c r="N7" s="8"/>
      <c r="O7" s="8">
        <f>ROUND(H7*0.02%+I7*0.02%+K7*0.02%,0)</f>
        <v>0</v>
      </c>
      <c r="P7" s="9"/>
      <c r="Q7" s="11">
        <v>43672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>
        <v>108000</v>
      </c>
      <c r="AK7" s="11">
        <f t="shared" si="0"/>
        <v>0</v>
      </c>
      <c r="AL7" s="11"/>
      <c r="AM7" s="9"/>
      <c r="AN7" s="12">
        <f t="shared" si="1"/>
        <v>108000</v>
      </c>
      <c r="AO7" s="99">
        <f t="shared" si="2"/>
        <v>514769</v>
      </c>
      <c r="AP7" s="99"/>
      <c r="AU7" s="12">
        <v>108000</v>
      </c>
      <c r="AV7" s="99">
        <v>514769</v>
      </c>
    </row>
    <row r="8" spans="1:103">
      <c r="A8" s="13">
        <v>43675</v>
      </c>
      <c r="B8" s="6"/>
      <c r="C8" s="6"/>
      <c r="D8" s="6"/>
      <c r="E8" s="6"/>
      <c r="F8" s="7">
        <f>B8+C8</f>
        <v>0</v>
      </c>
      <c r="G8" s="7">
        <f>ROUND(F8*0.03%,0)</f>
        <v>0</v>
      </c>
      <c r="H8" s="8"/>
      <c r="I8" s="8"/>
      <c r="J8" s="8">
        <f>H8+I8</f>
        <v>0</v>
      </c>
      <c r="K8" s="8"/>
      <c r="L8" s="8"/>
      <c r="M8" s="8"/>
      <c r="N8" s="8"/>
      <c r="O8" s="8">
        <f>ROUND(H8*0.02%+I8*0.02%+K8*0.02%,0)</f>
        <v>0</v>
      </c>
      <c r="P8" s="9"/>
      <c r="Q8" s="14">
        <v>43675</v>
      </c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1">
        <v>36000</v>
      </c>
      <c r="AK8" s="11">
        <f t="shared" si="0"/>
        <v>0</v>
      </c>
      <c r="AL8" s="11"/>
      <c r="AM8" s="9"/>
      <c r="AN8" s="12">
        <f t="shared" si="1"/>
        <v>36000</v>
      </c>
      <c r="AO8" s="99">
        <f t="shared" si="2"/>
        <v>550769</v>
      </c>
      <c r="AP8" s="99"/>
      <c r="AU8" s="12">
        <v>36000</v>
      </c>
      <c r="AV8" s="99">
        <v>550769</v>
      </c>
    </row>
    <row r="9" spans="1:103">
      <c r="A9" s="5">
        <v>43676</v>
      </c>
      <c r="B9" s="6">
        <v>465763500</v>
      </c>
      <c r="C9" s="6"/>
      <c r="D9" s="6"/>
      <c r="E9" s="6"/>
      <c r="F9" s="7">
        <f>B9+C9</f>
        <v>465763500</v>
      </c>
      <c r="G9" s="7">
        <f>ROUND(F9*0.03%,0)</f>
        <v>139729</v>
      </c>
      <c r="H9" s="8">
        <v>36580000</v>
      </c>
      <c r="I9" s="8"/>
      <c r="J9" s="8">
        <f>H9+I9</f>
        <v>36580000</v>
      </c>
      <c r="K9" s="8"/>
      <c r="L9" s="8"/>
      <c r="M9" s="8"/>
      <c r="N9" s="8"/>
      <c r="O9" s="8">
        <f>ROUND(H9*0.02%+I9*0.02%+K9*0.02%,0)</f>
        <v>7316</v>
      </c>
      <c r="P9" s="9">
        <v>0</v>
      </c>
      <c r="Q9" s="14">
        <v>43676</v>
      </c>
      <c r="R9" s="14">
        <v>5</v>
      </c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1">
        <v>51000</v>
      </c>
      <c r="AK9" s="11">
        <f t="shared" si="0"/>
        <v>15000</v>
      </c>
      <c r="AL9" s="11"/>
      <c r="AM9" s="9">
        <f>111250+900000</f>
        <v>1011250</v>
      </c>
      <c r="AN9" s="12">
        <f t="shared" si="1"/>
        <v>1224295</v>
      </c>
      <c r="AO9" s="99">
        <f t="shared" si="2"/>
        <v>1775064</v>
      </c>
      <c r="AP9" s="99"/>
      <c r="AU9" s="12">
        <v>1224295</v>
      </c>
      <c r="AV9" s="99">
        <v>1775064</v>
      </c>
    </row>
    <row r="10" spans="1:103">
      <c r="A10" s="5">
        <v>43677</v>
      </c>
      <c r="B10" s="6"/>
      <c r="C10" s="6"/>
      <c r="D10" s="6"/>
      <c r="E10" s="6"/>
      <c r="F10" s="7"/>
      <c r="G10" s="7"/>
      <c r="H10" s="8"/>
      <c r="I10" s="8"/>
      <c r="J10" s="8"/>
      <c r="K10" s="8"/>
      <c r="L10" s="8"/>
      <c r="M10" s="8"/>
      <c r="N10" s="8"/>
      <c r="O10" s="8"/>
      <c r="P10" s="9"/>
      <c r="Q10" s="14">
        <v>43677</v>
      </c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1">
        <v>51000</v>
      </c>
      <c r="AK10" s="11">
        <f t="shared" si="0"/>
        <v>0</v>
      </c>
      <c r="AL10" s="11">
        <v>400000</v>
      </c>
      <c r="AM10" s="9"/>
      <c r="AN10" s="12">
        <f t="shared" si="1"/>
        <v>451000</v>
      </c>
      <c r="AO10" s="99">
        <f t="shared" si="2"/>
        <v>2226064</v>
      </c>
      <c r="AP10" s="99"/>
      <c r="AU10" s="12">
        <v>451000</v>
      </c>
      <c r="AV10" s="99">
        <v>2226064</v>
      </c>
    </row>
    <row r="11" spans="1:103">
      <c r="A11" s="5">
        <v>43678</v>
      </c>
      <c r="B11" s="6"/>
      <c r="C11" s="6"/>
      <c r="D11" s="6"/>
      <c r="E11" s="6"/>
      <c r="F11" s="7">
        <f t="shared" ref="F11:F74" si="3">B11+C11</f>
        <v>0</v>
      </c>
      <c r="G11" s="7">
        <f t="shared" ref="G11:G74" si="4">ROUND(F11*0.03%,0)</f>
        <v>0</v>
      </c>
      <c r="H11" s="8">
        <v>1415886000</v>
      </c>
      <c r="I11" s="8"/>
      <c r="J11" s="8">
        <f t="shared" ref="J11:J74" si="5">H11+I11</f>
        <v>1415886000</v>
      </c>
      <c r="K11" s="8"/>
      <c r="L11" s="8"/>
      <c r="M11" s="8"/>
      <c r="N11" s="8"/>
      <c r="O11" s="8">
        <f t="shared" ref="O11:O39" si="6">ROUND(H11*0.02%+I11*0.02%+K11*0.02%,0)</f>
        <v>283177</v>
      </c>
      <c r="P11" s="9">
        <f>ROUND(96450*0.5,0)</f>
        <v>48225</v>
      </c>
      <c r="Q11" s="14">
        <v>43678</v>
      </c>
      <c r="R11" s="14">
        <v>16</v>
      </c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1">
        <v>3000</v>
      </c>
      <c r="AK11" s="11">
        <f t="shared" si="0"/>
        <v>48000</v>
      </c>
      <c r="AL11" s="11">
        <v>0</v>
      </c>
      <c r="AM11" s="9"/>
      <c r="AN11" s="12">
        <f t="shared" si="1"/>
        <v>382402</v>
      </c>
      <c r="AO11" s="99">
        <f t="shared" si="2"/>
        <v>2608466</v>
      </c>
      <c r="AP11" s="99"/>
      <c r="AU11" s="12">
        <v>382402</v>
      </c>
      <c r="AV11" s="99">
        <v>2608466</v>
      </c>
    </row>
    <row r="12" spans="1:103">
      <c r="A12" s="5">
        <v>43679</v>
      </c>
      <c r="B12" s="6"/>
      <c r="C12" s="6"/>
      <c r="D12" s="6"/>
      <c r="E12" s="6"/>
      <c r="F12" s="7">
        <f t="shared" si="3"/>
        <v>0</v>
      </c>
      <c r="G12" s="7">
        <f t="shared" si="4"/>
        <v>0</v>
      </c>
      <c r="H12" s="8">
        <v>0</v>
      </c>
      <c r="I12" s="8"/>
      <c r="J12" s="8">
        <f t="shared" si="5"/>
        <v>0</v>
      </c>
      <c r="K12" s="8"/>
      <c r="L12" s="8"/>
      <c r="M12" s="8"/>
      <c r="N12" s="8"/>
      <c r="O12" s="8">
        <f t="shared" si="6"/>
        <v>0</v>
      </c>
      <c r="P12" s="9"/>
      <c r="Q12" s="14">
        <v>43679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1">
        <v>9000</v>
      </c>
      <c r="AK12" s="11">
        <f t="shared" si="0"/>
        <v>0</v>
      </c>
      <c r="AL12" s="11"/>
      <c r="AM12" s="9"/>
      <c r="AN12" s="12">
        <f t="shared" si="1"/>
        <v>9000</v>
      </c>
      <c r="AO12" s="99">
        <f t="shared" si="2"/>
        <v>2617466</v>
      </c>
      <c r="AP12" s="99"/>
      <c r="AU12" s="12">
        <v>9000</v>
      </c>
      <c r="AV12" s="99">
        <v>2617466</v>
      </c>
    </row>
    <row r="13" spans="1:103">
      <c r="A13" s="15" t="s">
        <v>27</v>
      </c>
      <c r="B13" s="16"/>
      <c r="C13" s="16"/>
      <c r="D13" s="16"/>
      <c r="E13" s="16"/>
      <c r="F13" s="7">
        <f t="shared" si="3"/>
        <v>0</v>
      </c>
      <c r="G13" s="7">
        <f t="shared" si="4"/>
        <v>0</v>
      </c>
      <c r="H13" s="8">
        <v>1578338700</v>
      </c>
      <c r="I13" s="8"/>
      <c r="J13" s="8">
        <f t="shared" si="5"/>
        <v>1578338700</v>
      </c>
      <c r="K13" s="8"/>
      <c r="L13" s="8"/>
      <c r="M13" s="8"/>
      <c r="N13" s="8"/>
      <c r="O13" s="8">
        <f t="shared" si="6"/>
        <v>315668</v>
      </c>
      <c r="P13" s="9">
        <v>3015</v>
      </c>
      <c r="Q13" s="14">
        <v>43682</v>
      </c>
      <c r="R13" s="14">
        <v>18</v>
      </c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1">
        <v>51000</v>
      </c>
      <c r="AK13" s="11">
        <f t="shared" si="0"/>
        <v>54000</v>
      </c>
      <c r="AL13" s="11"/>
      <c r="AM13" s="9"/>
      <c r="AN13" s="12">
        <f t="shared" si="1"/>
        <v>423683</v>
      </c>
      <c r="AO13" s="99">
        <f t="shared" si="2"/>
        <v>3041149</v>
      </c>
      <c r="AP13" s="99"/>
      <c r="AU13" s="12">
        <v>423683</v>
      </c>
      <c r="AV13" s="99">
        <v>3041149</v>
      </c>
    </row>
    <row r="14" spans="1:103">
      <c r="A14" s="15">
        <v>43683</v>
      </c>
      <c r="B14" s="16"/>
      <c r="C14" s="16"/>
      <c r="D14" s="16"/>
      <c r="E14" s="16"/>
      <c r="F14" s="7">
        <f t="shared" si="3"/>
        <v>0</v>
      </c>
      <c r="G14" s="7">
        <f t="shared" si="4"/>
        <v>0</v>
      </c>
      <c r="H14" s="8">
        <v>0</v>
      </c>
      <c r="I14" s="8"/>
      <c r="J14" s="8">
        <f t="shared" si="5"/>
        <v>0</v>
      </c>
      <c r="K14" s="8"/>
      <c r="L14" s="8"/>
      <c r="M14" s="8"/>
      <c r="N14" s="8"/>
      <c r="O14" s="8">
        <f t="shared" si="6"/>
        <v>0</v>
      </c>
      <c r="P14" s="9"/>
      <c r="Q14" s="14">
        <v>43683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1">
        <v>51000</v>
      </c>
      <c r="AK14" s="11">
        <f t="shared" si="0"/>
        <v>0</v>
      </c>
      <c r="AL14" s="11"/>
      <c r="AM14" s="9"/>
      <c r="AN14" s="12">
        <f t="shared" si="1"/>
        <v>51000</v>
      </c>
      <c r="AO14" s="99">
        <f t="shared" si="2"/>
        <v>3092149</v>
      </c>
      <c r="AP14" s="99"/>
      <c r="AU14" s="12">
        <v>51000</v>
      </c>
      <c r="AV14" s="99">
        <v>3092149</v>
      </c>
    </row>
    <row r="15" spans="1:103">
      <c r="A15" s="15">
        <v>43684</v>
      </c>
      <c r="B15" s="16"/>
      <c r="C15" s="16"/>
      <c r="D15" s="16"/>
      <c r="E15" s="16"/>
      <c r="F15" s="7">
        <f t="shared" si="3"/>
        <v>0</v>
      </c>
      <c r="G15" s="7">
        <f t="shared" si="4"/>
        <v>0</v>
      </c>
      <c r="H15" s="8">
        <v>0</v>
      </c>
      <c r="I15" s="8"/>
      <c r="J15" s="8">
        <f t="shared" si="5"/>
        <v>0</v>
      </c>
      <c r="K15" s="8"/>
      <c r="L15" s="8"/>
      <c r="M15" s="8"/>
      <c r="N15" s="8"/>
      <c r="O15" s="8">
        <f t="shared" si="6"/>
        <v>0</v>
      </c>
      <c r="P15" s="9"/>
      <c r="Q15" s="14">
        <v>43684</v>
      </c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1">
        <v>51000</v>
      </c>
      <c r="AK15" s="11">
        <f t="shared" si="0"/>
        <v>0</v>
      </c>
      <c r="AL15" s="11"/>
      <c r="AM15" s="9"/>
      <c r="AN15" s="12">
        <f t="shared" si="1"/>
        <v>51000</v>
      </c>
      <c r="AO15" s="99">
        <f t="shared" si="2"/>
        <v>3143149</v>
      </c>
      <c r="AP15" s="99"/>
      <c r="AU15" s="12">
        <v>51000</v>
      </c>
      <c r="AV15" s="99">
        <v>3143149</v>
      </c>
    </row>
    <row r="16" spans="1:103">
      <c r="A16" s="15">
        <v>43685</v>
      </c>
      <c r="B16" s="16"/>
      <c r="C16" s="16">
        <v>9821000</v>
      </c>
      <c r="D16" s="16"/>
      <c r="E16" s="16"/>
      <c r="F16" s="7">
        <f t="shared" si="3"/>
        <v>9821000</v>
      </c>
      <c r="G16" s="7">
        <f t="shared" si="4"/>
        <v>2946</v>
      </c>
      <c r="H16" s="8">
        <v>0</v>
      </c>
      <c r="I16" s="8"/>
      <c r="J16" s="8">
        <f t="shared" si="5"/>
        <v>0</v>
      </c>
      <c r="K16" s="8"/>
      <c r="L16" s="8"/>
      <c r="M16" s="8"/>
      <c r="N16" s="8"/>
      <c r="O16" s="8">
        <f t="shared" si="6"/>
        <v>0</v>
      </c>
      <c r="P16" s="9">
        <v>305</v>
      </c>
      <c r="Q16" s="14">
        <v>43685</v>
      </c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1">
        <v>51000</v>
      </c>
      <c r="AK16" s="11">
        <f t="shared" si="0"/>
        <v>0</v>
      </c>
      <c r="AL16" s="11"/>
      <c r="AM16" s="9"/>
      <c r="AN16" s="12">
        <f t="shared" si="1"/>
        <v>54251</v>
      </c>
      <c r="AO16" s="99">
        <f t="shared" si="2"/>
        <v>3197400</v>
      </c>
      <c r="AP16" s="99"/>
      <c r="AU16" s="12">
        <v>54251</v>
      </c>
      <c r="AV16" s="99">
        <v>3197400</v>
      </c>
    </row>
    <row r="17" spans="1:48">
      <c r="A17" s="15">
        <v>43686</v>
      </c>
      <c r="B17" s="16">
        <v>369132000</v>
      </c>
      <c r="C17" s="16">
        <f>1111626600-36133600</f>
        <v>1075493000</v>
      </c>
      <c r="D17" s="16"/>
      <c r="E17" s="16"/>
      <c r="F17" s="7">
        <f t="shared" si="3"/>
        <v>1444625000</v>
      </c>
      <c r="G17" s="7">
        <f t="shared" si="4"/>
        <v>433388</v>
      </c>
      <c r="H17" s="8">
        <v>36133600</v>
      </c>
      <c r="I17" s="8"/>
      <c r="J17" s="8">
        <f t="shared" si="5"/>
        <v>36133600</v>
      </c>
      <c r="K17" s="8"/>
      <c r="L17" s="8"/>
      <c r="M17" s="8"/>
      <c r="N17" s="8"/>
      <c r="O17" s="8">
        <f t="shared" si="6"/>
        <v>7227</v>
      </c>
      <c r="P17" s="9">
        <v>12700</v>
      </c>
      <c r="Q17" s="14">
        <v>43686</v>
      </c>
      <c r="R17" s="14">
        <v>17</v>
      </c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1"/>
      <c r="AK17" s="11">
        <f t="shared" si="0"/>
        <v>51000</v>
      </c>
      <c r="AL17" s="11"/>
      <c r="AM17" s="9">
        <v>700000</v>
      </c>
      <c r="AN17" s="12">
        <f t="shared" si="1"/>
        <v>1204315</v>
      </c>
      <c r="AO17" s="99">
        <f t="shared" si="2"/>
        <v>4401715</v>
      </c>
      <c r="AP17" s="99"/>
      <c r="AU17" s="12">
        <v>1204315</v>
      </c>
      <c r="AV17" s="99">
        <v>4401715</v>
      </c>
    </row>
    <row r="18" spans="1:48">
      <c r="A18" s="15" t="s">
        <v>28</v>
      </c>
      <c r="B18" s="16"/>
      <c r="C18" s="16"/>
      <c r="D18" s="16"/>
      <c r="E18" s="16"/>
      <c r="F18" s="7">
        <f t="shared" si="3"/>
        <v>0</v>
      </c>
      <c r="G18" s="7">
        <f t="shared" si="4"/>
        <v>0</v>
      </c>
      <c r="H18" s="8">
        <v>705956800</v>
      </c>
      <c r="I18" s="8"/>
      <c r="J18" s="8">
        <f t="shared" si="5"/>
        <v>705956800</v>
      </c>
      <c r="K18" s="8"/>
      <c r="L18" s="8"/>
      <c r="M18" s="8"/>
      <c r="N18" s="8"/>
      <c r="O18" s="8">
        <f t="shared" si="6"/>
        <v>141191</v>
      </c>
      <c r="P18" s="9"/>
      <c r="Q18" s="14">
        <v>43706</v>
      </c>
      <c r="R18" s="14">
        <v>8</v>
      </c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1">
        <v>24000</v>
      </c>
      <c r="AK18" s="11">
        <f t="shared" si="0"/>
        <v>24000</v>
      </c>
      <c r="AL18" s="11"/>
      <c r="AM18" s="9"/>
      <c r="AN18" s="12">
        <f t="shared" si="1"/>
        <v>189191</v>
      </c>
      <c r="AO18" s="99">
        <f t="shared" si="2"/>
        <v>4590906</v>
      </c>
      <c r="AP18" s="99"/>
      <c r="AU18" s="12">
        <v>189191</v>
      </c>
      <c r="AV18" s="99">
        <v>4590906</v>
      </c>
    </row>
    <row r="19" spans="1:48">
      <c r="A19" s="13">
        <v>43707</v>
      </c>
      <c r="B19" s="16"/>
      <c r="C19" s="16"/>
      <c r="D19" s="16"/>
      <c r="E19" s="16"/>
      <c r="F19" s="7">
        <f t="shared" si="3"/>
        <v>0</v>
      </c>
      <c r="G19" s="7">
        <f t="shared" si="4"/>
        <v>0</v>
      </c>
      <c r="H19" s="8">
        <v>0</v>
      </c>
      <c r="I19" s="8"/>
      <c r="J19" s="8">
        <f t="shared" si="5"/>
        <v>0</v>
      </c>
      <c r="K19" s="8"/>
      <c r="L19" s="8"/>
      <c r="M19" s="8"/>
      <c r="N19" s="8"/>
      <c r="O19" s="8">
        <f t="shared" si="6"/>
        <v>0</v>
      </c>
      <c r="P19" s="9"/>
      <c r="Q19" s="14">
        <v>43707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1">
        <v>96000</v>
      </c>
      <c r="AK19" s="11">
        <f t="shared" si="0"/>
        <v>0</v>
      </c>
      <c r="AL19" s="11">
        <v>400000</v>
      </c>
      <c r="AM19" s="9">
        <v>117740</v>
      </c>
      <c r="AN19" s="12">
        <f t="shared" si="1"/>
        <v>613740</v>
      </c>
      <c r="AO19" s="99">
        <f t="shared" si="2"/>
        <v>5204646</v>
      </c>
      <c r="AP19" s="99"/>
      <c r="AU19" s="12">
        <v>613740</v>
      </c>
      <c r="AV19" s="99">
        <v>5204646</v>
      </c>
    </row>
    <row r="20" spans="1:48">
      <c r="A20" s="13">
        <v>43711</v>
      </c>
      <c r="B20" s="16"/>
      <c r="C20" s="16"/>
      <c r="D20" s="16"/>
      <c r="E20" s="16"/>
      <c r="F20" s="7">
        <f t="shared" si="3"/>
        <v>0</v>
      </c>
      <c r="G20" s="7">
        <f t="shared" si="4"/>
        <v>0</v>
      </c>
      <c r="H20" s="8">
        <v>0</v>
      </c>
      <c r="I20" s="8"/>
      <c r="J20" s="8">
        <f t="shared" si="5"/>
        <v>0</v>
      </c>
      <c r="K20" s="8"/>
      <c r="L20" s="8"/>
      <c r="M20" s="8"/>
      <c r="N20" s="8"/>
      <c r="O20" s="8">
        <f t="shared" si="6"/>
        <v>0</v>
      </c>
      <c r="P20" s="9"/>
      <c r="Q20" s="14">
        <v>43711</v>
      </c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1">
        <v>24000</v>
      </c>
      <c r="AK20" s="11">
        <f t="shared" si="0"/>
        <v>0</v>
      </c>
      <c r="AL20" s="11"/>
      <c r="AM20" s="9"/>
      <c r="AN20" s="12">
        <f t="shared" si="1"/>
        <v>24000</v>
      </c>
      <c r="AO20" s="99">
        <f t="shared" si="2"/>
        <v>5228646</v>
      </c>
      <c r="AP20" s="99"/>
      <c r="AU20" s="12">
        <v>24000</v>
      </c>
      <c r="AV20" s="99">
        <v>5228646</v>
      </c>
    </row>
    <row r="21" spans="1:48">
      <c r="A21" s="13">
        <v>43712</v>
      </c>
      <c r="B21" s="16"/>
      <c r="C21" s="16"/>
      <c r="D21" s="16"/>
      <c r="E21" s="16"/>
      <c r="F21" s="7">
        <f t="shared" si="3"/>
        <v>0</v>
      </c>
      <c r="G21" s="7">
        <f t="shared" si="4"/>
        <v>0</v>
      </c>
      <c r="H21" s="8">
        <v>0</v>
      </c>
      <c r="I21" s="8"/>
      <c r="J21" s="8">
        <f t="shared" si="5"/>
        <v>0</v>
      </c>
      <c r="K21" s="8"/>
      <c r="L21" s="8"/>
      <c r="M21" s="8"/>
      <c r="N21" s="8"/>
      <c r="O21" s="8">
        <f t="shared" si="6"/>
        <v>0</v>
      </c>
      <c r="P21" s="9"/>
      <c r="Q21" s="14">
        <v>43712</v>
      </c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1">
        <v>24000</v>
      </c>
      <c r="AK21" s="11">
        <f t="shared" si="0"/>
        <v>0</v>
      </c>
      <c r="AL21" s="11"/>
      <c r="AM21" s="9"/>
      <c r="AN21" s="12">
        <f t="shared" si="1"/>
        <v>24000</v>
      </c>
      <c r="AO21" s="99">
        <f t="shared" si="2"/>
        <v>5252646</v>
      </c>
      <c r="AP21" s="99"/>
      <c r="AU21" s="12">
        <v>24000</v>
      </c>
      <c r="AV21" s="99">
        <v>5252646</v>
      </c>
    </row>
    <row r="22" spans="1:48">
      <c r="A22" s="13">
        <v>43713</v>
      </c>
      <c r="B22" s="16"/>
      <c r="C22" s="16"/>
      <c r="D22" s="16"/>
      <c r="E22" s="16"/>
      <c r="F22" s="7">
        <f t="shared" si="3"/>
        <v>0</v>
      </c>
      <c r="G22" s="7">
        <f t="shared" si="4"/>
        <v>0</v>
      </c>
      <c r="H22" s="8">
        <v>0</v>
      </c>
      <c r="I22" s="8"/>
      <c r="J22" s="8">
        <f t="shared" si="5"/>
        <v>0</v>
      </c>
      <c r="K22" s="8"/>
      <c r="L22" s="8"/>
      <c r="M22" s="8"/>
      <c r="N22" s="8"/>
      <c r="O22" s="8">
        <f t="shared" si="6"/>
        <v>0</v>
      </c>
      <c r="P22" s="9"/>
      <c r="Q22" s="14">
        <v>43713</v>
      </c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1">
        <v>24000</v>
      </c>
      <c r="AK22" s="11">
        <f t="shared" si="0"/>
        <v>0</v>
      </c>
      <c r="AL22" s="11"/>
      <c r="AM22" s="9"/>
      <c r="AN22" s="12">
        <f t="shared" si="1"/>
        <v>24000</v>
      </c>
      <c r="AO22" s="99">
        <f t="shared" si="2"/>
        <v>5276646</v>
      </c>
      <c r="AP22" s="99"/>
      <c r="AU22" s="12">
        <v>24000</v>
      </c>
      <c r="AV22" s="99">
        <v>5276646</v>
      </c>
    </row>
    <row r="23" spans="1:48">
      <c r="A23" s="15" t="s">
        <v>29</v>
      </c>
      <c r="B23" s="16"/>
      <c r="C23" s="16"/>
      <c r="D23" s="16"/>
      <c r="E23" s="16"/>
      <c r="F23" s="7">
        <f t="shared" si="3"/>
        <v>0</v>
      </c>
      <c r="G23" s="7">
        <f t="shared" si="4"/>
        <v>0</v>
      </c>
      <c r="H23" s="8">
        <v>798613200</v>
      </c>
      <c r="I23" s="8"/>
      <c r="J23" s="8">
        <f t="shared" si="5"/>
        <v>798613200</v>
      </c>
      <c r="K23" s="17"/>
      <c r="L23" s="17"/>
      <c r="M23" s="17"/>
      <c r="N23" s="17"/>
      <c r="O23" s="8">
        <f t="shared" si="6"/>
        <v>159723</v>
      </c>
      <c r="P23" s="9"/>
      <c r="Q23" s="14">
        <v>43714</v>
      </c>
      <c r="R23" s="14">
        <v>9</v>
      </c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1">
        <v>153000</v>
      </c>
      <c r="AK23" s="11">
        <f t="shared" si="0"/>
        <v>27000</v>
      </c>
      <c r="AL23" s="11"/>
      <c r="AM23" s="9"/>
      <c r="AN23" s="12">
        <f t="shared" si="1"/>
        <v>339723</v>
      </c>
      <c r="AO23" s="99">
        <f t="shared" si="2"/>
        <v>5616369</v>
      </c>
      <c r="AP23" s="99"/>
      <c r="AU23" s="12">
        <v>339723</v>
      </c>
      <c r="AV23" s="99">
        <v>5616369</v>
      </c>
    </row>
    <row r="24" spans="1:48">
      <c r="A24" s="13">
        <v>43717</v>
      </c>
      <c r="B24" s="16"/>
      <c r="C24" s="16"/>
      <c r="D24" s="16"/>
      <c r="E24" s="16"/>
      <c r="F24" s="7">
        <f t="shared" si="3"/>
        <v>0</v>
      </c>
      <c r="G24" s="7">
        <f t="shared" si="4"/>
        <v>0</v>
      </c>
      <c r="H24" s="8">
        <v>0</v>
      </c>
      <c r="I24" s="8"/>
      <c r="J24" s="8">
        <f t="shared" si="5"/>
        <v>0</v>
      </c>
      <c r="K24" s="17"/>
      <c r="L24" s="17"/>
      <c r="M24" s="17"/>
      <c r="N24" s="17"/>
      <c r="O24" s="8">
        <f t="shared" si="6"/>
        <v>0</v>
      </c>
      <c r="P24" s="9"/>
      <c r="Q24" s="14">
        <v>43717</v>
      </c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1">
        <v>51000</v>
      </c>
      <c r="AK24" s="11">
        <f t="shared" si="0"/>
        <v>0</v>
      </c>
      <c r="AL24" s="11"/>
      <c r="AM24" s="9"/>
      <c r="AN24" s="12">
        <f t="shared" si="1"/>
        <v>51000</v>
      </c>
      <c r="AO24" s="99">
        <f t="shared" si="2"/>
        <v>5667369</v>
      </c>
      <c r="AP24" s="99"/>
      <c r="AU24" s="12">
        <v>51000</v>
      </c>
      <c r="AV24" s="99">
        <v>5667369</v>
      </c>
    </row>
    <row r="25" spans="1:48">
      <c r="A25" s="15" t="s">
        <v>30</v>
      </c>
      <c r="B25" s="16"/>
      <c r="C25" s="16"/>
      <c r="D25" s="16"/>
      <c r="E25" s="16"/>
      <c r="F25" s="7">
        <f t="shared" si="3"/>
        <v>0</v>
      </c>
      <c r="G25" s="7">
        <f t="shared" si="4"/>
        <v>0</v>
      </c>
      <c r="H25" s="8">
        <v>2350600</v>
      </c>
      <c r="I25" s="8"/>
      <c r="J25" s="8">
        <f t="shared" si="5"/>
        <v>2350600</v>
      </c>
      <c r="K25" s="17"/>
      <c r="L25" s="17"/>
      <c r="M25" s="17"/>
      <c r="N25" s="17"/>
      <c r="O25" s="8">
        <f t="shared" si="6"/>
        <v>470</v>
      </c>
      <c r="P25" s="9"/>
      <c r="Q25" s="14">
        <v>43718</v>
      </c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1">
        <v>51000</v>
      </c>
      <c r="AK25" s="11">
        <f t="shared" si="0"/>
        <v>0</v>
      </c>
      <c r="AL25" s="11"/>
      <c r="AM25" s="9"/>
      <c r="AN25" s="12">
        <f t="shared" si="1"/>
        <v>51470</v>
      </c>
      <c r="AO25" s="99">
        <f t="shared" si="2"/>
        <v>5718839</v>
      </c>
      <c r="AP25" s="99"/>
      <c r="AU25" s="12">
        <v>51470</v>
      </c>
      <c r="AV25" s="99">
        <v>5718839</v>
      </c>
    </row>
    <row r="26" spans="1:48">
      <c r="A26" s="15" t="s">
        <v>31</v>
      </c>
      <c r="B26" s="16"/>
      <c r="C26" s="16"/>
      <c r="D26" s="16"/>
      <c r="E26" s="16"/>
      <c r="F26" s="7">
        <f t="shared" si="3"/>
        <v>0</v>
      </c>
      <c r="G26" s="7">
        <f t="shared" si="4"/>
        <v>0</v>
      </c>
      <c r="H26" s="8">
        <v>1503373600</v>
      </c>
      <c r="I26" s="8"/>
      <c r="J26" s="8">
        <f t="shared" si="5"/>
        <v>1503373600</v>
      </c>
      <c r="K26" s="17"/>
      <c r="L26" s="17"/>
      <c r="M26" s="17"/>
      <c r="N26" s="17"/>
      <c r="O26" s="8">
        <f t="shared" si="6"/>
        <v>300675</v>
      </c>
      <c r="P26" s="9"/>
      <c r="Q26" s="14">
        <v>43719</v>
      </c>
      <c r="R26" s="14">
        <v>17</v>
      </c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1">
        <v>102000</v>
      </c>
      <c r="AK26" s="11">
        <f t="shared" si="0"/>
        <v>51000</v>
      </c>
      <c r="AL26" s="11"/>
      <c r="AM26" s="9"/>
      <c r="AN26" s="12">
        <f t="shared" si="1"/>
        <v>453675</v>
      </c>
      <c r="AO26" s="99">
        <f t="shared" si="2"/>
        <v>6172514</v>
      </c>
      <c r="AP26" s="99"/>
      <c r="AU26" s="12">
        <v>453675</v>
      </c>
      <c r="AV26" s="99">
        <v>6172514</v>
      </c>
    </row>
    <row r="27" spans="1:48">
      <c r="A27" s="13">
        <v>43720</v>
      </c>
      <c r="B27" s="16"/>
      <c r="C27" s="16"/>
      <c r="D27" s="16"/>
      <c r="E27" s="16"/>
      <c r="F27" s="7">
        <f t="shared" si="3"/>
        <v>0</v>
      </c>
      <c r="G27" s="7">
        <f t="shared" si="4"/>
        <v>0</v>
      </c>
      <c r="H27" s="8">
        <v>0</v>
      </c>
      <c r="I27" s="8"/>
      <c r="J27" s="8">
        <f t="shared" si="5"/>
        <v>0</v>
      </c>
      <c r="K27" s="17"/>
      <c r="L27" s="17"/>
      <c r="M27" s="17"/>
      <c r="N27" s="17"/>
      <c r="O27" s="8">
        <f t="shared" si="6"/>
        <v>0</v>
      </c>
      <c r="P27" s="9"/>
      <c r="Q27" s="14">
        <v>43720</v>
      </c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1">
        <v>102000</v>
      </c>
      <c r="AK27" s="11">
        <f t="shared" si="0"/>
        <v>0</v>
      </c>
      <c r="AL27" s="11"/>
      <c r="AM27" s="9"/>
      <c r="AN27" s="12">
        <f t="shared" si="1"/>
        <v>102000</v>
      </c>
      <c r="AO27" s="99">
        <f t="shared" si="2"/>
        <v>6274514</v>
      </c>
      <c r="AP27" s="99"/>
      <c r="AU27" s="12">
        <v>102000</v>
      </c>
      <c r="AV27" s="99">
        <v>6274514</v>
      </c>
    </row>
    <row r="28" spans="1:48">
      <c r="A28" s="13">
        <v>43721</v>
      </c>
      <c r="B28" s="16"/>
      <c r="C28" s="16"/>
      <c r="D28" s="16"/>
      <c r="E28" s="16"/>
      <c r="F28" s="7">
        <f t="shared" si="3"/>
        <v>0</v>
      </c>
      <c r="G28" s="7">
        <f t="shared" si="4"/>
        <v>0</v>
      </c>
      <c r="H28" s="8">
        <v>0</v>
      </c>
      <c r="I28" s="8"/>
      <c r="J28" s="8">
        <f t="shared" si="5"/>
        <v>0</v>
      </c>
      <c r="K28" s="17"/>
      <c r="L28" s="17"/>
      <c r="M28" s="17"/>
      <c r="N28" s="17"/>
      <c r="O28" s="8">
        <f t="shared" si="6"/>
        <v>0</v>
      </c>
      <c r="P28" s="9"/>
      <c r="Q28" s="14">
        <v>43721</v>
      </c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1">
        <v>306000</v>
      </c>
      <c r="AK28" s="11">
        <f t="shared" si="0"/>
        <v>0</v>
      </c>
      <c r="AL28" s="11"/>
      <c r="AM28" s="9"/>
      <c r="AN28" s="12">
        <f t="shared" si="1"/>
        <v>306000</v>
      </c>
      <c r="AO28" s="99">
        <f t="shared" si="2"/>
        <v>6580514</v>
      </c>
      <c r="AP28" s="99"/>
      <c r="AU28" s="12">
        <v>306000</v>
      </c>
      <c r="AV28" s="99">
        <v>6580514</v>
      </c>
    </row>
    <row r="29" spans="1:48">
      <c r="A29" s="13">
        <v>43724</v>
      </c>
      <c r="B29" s="16"/>
      <c r="C29" s="16"/>
      <c r="D29" s="16"/>
      <c r="E29" s="16"/>
      <c r="F29" s="7">
        <f t="shared" si="3"/>
        <v>0</v>
      </c>
      <c r="G29" s="7">
        <f t="shared" si="4"/>
        <v>0</v>
      </c>
      <c r="H29" s="8">
        <v>0</v>
      </c>
      <c r="I29" s="8"/>
      <c r="J29" s="8">
        <f t="shared" si="5"/>
        <v>0</v>
      </c>
      <c r="K29" s="17"/>
      <c r="L29" s="17"/>
      <c r="M29" s="17"/>
      <c r="N29" s="17"/>
      <c r="O29" s="8">
        <f t="shared" si="6"/>
        <v>0</v>
      </c>
      <c r="P29" s="9"/>
      <c r="Q29" s="14">
        <v>43724</v>
      </c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1">
        <v>102000</v>
      </c>
      <c r="AK29" s="11">
        <f t="shared" si="0"/>
        <v>0</v>
      </c>
      <c r="AL29" s="11"/>
      <c r="AM29" s="9"/>
      <c r="AN29" s="12">
        <f t="shared" si="1"/>
        <v>102000</v>
      </c>
      <c r="AO29" s="99">
        <f t="shared" si="2"/>
        <v>6682514</v>
      </c>
      <c r="AP29" s="99"/>
      <c r="AU29" s="12">
        <v>102000</v>
      </c>
      <c r="AV29" s="99">
        <v>6682514</v>
      </c>
    </row>
    <row r="30" spans="1:48">
      <c r="A30" s="15" t="s">
        <v>32</v>
      </c>
      <c r="B30" s="16"/>
      <c r="C30" s="16"/>
      <c r="D30" s="16"/>
      <c r="E30" s="16"/>
      <c r="F30" s="7">
        <f t="shared" si="3"/>
        <v>0</v>
      </c>
      <c r="G30" s="7">
        <f t="shared" si="4"/>
        <v>0</v>
      </c>
      <c r="H30" s="8">
        <v>988555200</v>
      </c>
      <c r="I30" s="8"/>
      <c r="J30" s="8">
        <f t="shared" si="5"/>
        <v>988555200</v>
      </c>
      <c r="K30" s="17"/>
      <c r="L30" s="17"/>
      <c r="M30" s="17"/>
      <c r="N30" s="17"/>
      <c r="O30" s="8">
        <f t="shared" si="6"/>
        <v>197711</v>
      </c>
      <c r="P30" s="9"/>
      <c r="Q30" s="14">
        <v>43725</v>
      </c>
      <c r="R30" s="14">
        <v>11</v>
      </c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1">
        <v>135000</v>
      </c>
      <c r="AK30" s="11">
        <f t="shared" si="0"/>
        <v>33000</v>
      </c>
      <c r="AL30" s="11"/>
      <c r="AM30" s="9"/>
      <c r="AN30" s="12">
        <f t="shared" si="1"/>
        <v>365711</v>
      </c>
      <c r="AO30" s="99">
        <f t="shared" si="2"/>
        <v>7048225</v>
      </c>
      <c r="AP30" s="99"/>
      <c r="AU30" s="12">
        <v>365711</v>
      </c>
      <c r="AV30" s="99">
        <v>7048225</v>
      </c>
    </row>
    <row r="31" spans="1:48">
      <c r="A31" s="15" t="s">
        <v>33</v>
      </c>
      <c r="B31" s="16"/>
      <c r="C31" s="16"/>
      <c r="D31" s="16"/>
      <c r="E31" s="16"/>
      <c r="F31" s="7">
        <f t="shared" si="3"/>
        <v>0</v>
      </c>
      <c r="G31" s="7">
        <f t="shared" si="4"/>
        <v>0</v>
      </c>
      <c r="H31" s="8">
        <v>5026560700</v>
      </c>
      <c r="I31" s="8"/>
      <c r="J31" s="8">
        <f t="shared" si="5"/>
        <v>5026560700</v>
      </c>
      <c r="K31" s="17"/>
      <c r="L31" s="17"/>
      <c r="M31" s="17"/>
      <c r="N31" s="17"/>
      <c r="O31" s="8">
        <f t="shared" si="6"/>
        <v>1005312</v>
      </c>
      <c r="P31" s="9"/>
      <c r="Q31" s="14">
        <v>43726</v>
      </c>
      <c r="R31" s="14">
        <v>55</v>
      </c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1">
        <v>300000</v>
      </c>
      <c r="AK31" s="11">
        <f t="shared" si="0"/>
        <v>165000</v>
      </c>
      <c r="AL31" s="11"/>
      <c r="AM31" s="9"/>
      <c r="AN31" s="12">
        <f t="shared" si="1"/>
        <v>1470312</v>
      </c>
      <c r="AO31" s="99">
        <f t="shared" si="2"/>
        <v>8518537</v>
      </c>
      <c r="AP31" s="99"/>
      <c r="AU31" s="12">
        <v>1470312</v>
      </c>
      <c r="AV31" s="99">
        <v>8518537</v>
      </c>
    </row>
    <row r="32" spans="1:48">
      <c r="A32" s="13">
        <v>43727</v>
      </c>
      <c r="B32" s="16"/>
      <c r="C32" s="16"/>
      <c r="D32" s="16"/>
      <c r="E32" s="16"/>
      <c r="F32" s="7">
        <f t="shared" si="3"/>
        <v>0</v>
      </c>
      <c r="G32" s="7">
        <f t="shared" si="4"/>
        <v>0</v>
      </c>
      <c r="H32" s="8">
        <v>0</v>
      </c>
      <c r="I32" s="8"/>
      <c r="J32" s="8">
        <f t="shared" si="5"/>
        <v>0</v>
      </c>
      <c r="K32" s="17"/>
      <c r="L32" s="17"/>
      <c r="M32" s="17"/>
      <c r="N32" s="17"/>
      <c r="O32" s="8">
        <f t="shared" si="6"/>
        <v>0</v>
      </c>
      <c r="P32" s="9"/>
      <c r="Q32" s="14">
        <v>43727</v>
      </c>
      <c r="R32" s="14">
        <v>202</v>
      </c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1">
        <v>300000</v>
      </c>
      <c r="AK32" s="11">
        <f t="shared" si="0"/>
        <v>606000</v>
      </c>
      <c r="AL32" s="11"/>
      <c r="AM32" s="9"/>
      <c r="AN32" s="12">
        <f t="shared" si="1"/>
        <v>906000</v>
      </c>
      <c r="AO32" s="99">
        <f t="shared" si="2"/>
        <v>9424537</v>
      </c>
      <c r="AP32" s="99"/>
      <c r="AU32" s="12">
        <v>906000</v>
      </c>
      <c r="AV32" s="99">
        <v>9424537</v>
      </c>
    </row>
    <row r="33" spans="1:48">
      <c r="A33" s="13">
        <v>43728</v>
      </c>
      <c r="B33" s="16"/>
      <c r="C33" s="16"/>
      <c r="D33" s="16"/>
      <c r="E33" s="16"/>
      <c r="F33" s="7">
        <f t="shared" si="3"/>
        <v>0</v>
      </c>
      <c r="G33" s="7">
        <f t="shared" si="4"/>
        <v>0</v>
      </c>
      <c r="H33" s="8">
        <v>0</v>
      </c>
      <c r="I33" s="8"/>
      <c r="J33" s="8">
        <f t="shared" si="5"/>
        <v>0</v>
      </c>
      <c r="K33" s="17"/>
      <c r="L33" s="17"/>
      <c r="M33" s="17"/>
      <c r="N33" s="17"/>
      <c r="O33" s="8">
        <f t="shared" si="6"/>
        <v>0</v>
      </c>
      <c r="P33" s="9"/>
      <c r="Q33" s="14">
        <v>43728</v>
      </c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1">
        <v>900000</v>
      </c>
      <c r="AK33" s="11">
        <f t="shared" si="0"/>
        <v>0</v>
      </c>
      <c r="AL33" s="11"/>
      <c r="AM33" s="9"/>
      <c r="AN33" s="12">
        <f t="shared" si="1"/>
        <v>900000</v>
      </c>
      <c r="AO33" s="99">
        <f t="shared" si="2"/>
        <v>10324537</v>
      </c>
      <c r="AP33" s="99"/>
      <c r="AU33" s="12">
        <v>900000</v>
      </c>
      <c r="AV33" s="99">
        <v>10324537</v>
      </c>
    </row>
    <row r="34" spans="1:48">
      <c r="A34" s="13">
        <v>43731</v>
      </c>
      <c r="B34" s="16"/>
      <c r="C34" s="16"/>
      <c r="D34" s="16"/>
      <c r="E34" s="16"/>
      <c r="F34" s="7">
        <f t="shared" si="3"/>
        <v>0</v>
      </c>
      <c r="G34" s="7">
        <f t="shared" si="4"/>
        <v>0</v>
      </c>
      <c r="H34" s="8">
        <v>0</v>
      </c>
      <c r="I34" s="8"/>
      <c r="J34" s="8">
        <f t="shared" si="5"/>
        <v>0</v>
      </c>
      <c r="K34" s="17"/>
      <c r="L34" s="17"/>
      <c r="M34" s="17"/>
      <c r="N34" s="17"/>
      <c r="O34" s="8">
        <f t="shared" si="6"/>
        <v>0</v>
      </c>
      <c r="P34" s="9"/>
      <c r="Q34" s="14">
        <v>43731</v>
      </c>
      <c r="R34" s="14">
        <v>2</v>
      </c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1">
        <v>300000</v>
      </c>
      <c r="AK34" s="11">
        <f t="shared" si="0"/>
        <v>6000</v>
      </c>
      <c r="AL34" s="11"/>
      <c r="AM34" s="9"/>
      <c r="AN34" s="12">
        <f t="shared" si="1"/>
        <v>306000</v>
      </c>
      <c r="AO34" s="99">
        <f t="shared" si="2"/>
        <v>10630537</v>
      </c>
      <c r="AP34" s="99"/>
      <c r="AU34" s="12">
        <v>306000</v>
      </c>
      <c r="AV34" s="99">
        <v>10630537</v>
      </c>
    </row>
    <row r="35" spans="1:48">
      <c r="A35" s="15" t="s">
        <v>34</v>
      </c>
      <c r="B35" s="16"/>
      <c r="C35" s="16"/>
      <c r="D35" s="16"/>
      <c r="E35" s="16"/>
      <c r="F35" s="7">
        <f t="shared" si="3"/>
        <v>0</v>
      </c>
      <c r="G35" s="7">
        <f t="shared" si="4"/>
        <v>0</v>
      </c>
      <c r="H35" s="8">
        <v>10612000</v>
      </c>
      <c r="I35" s="8"/>
      <c r="J35" s="8">
        <f t="shared" si="5"/>
        <v>10612000</v>
      </c>
      <c r="K35" s="8"/>
      <c r="L35" s="8"/>
      <c r="M35" s="8"/>
      <c r="N35" s="8"/>
      <c r="O35" s="8">
        <f t="shared" si="6"/>
        <v>2122</v>
      </c>
      <c r="P35" s="9">
        <v>175</v>
      </c>
      <c r="Q35" s="14">
        <v>43732</v>
      </c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1">
        <v>300000</v>
      </c>
      <c r="AK35" s="11">
        <f t="shared" si="0"/>
        <v>0</v>
      </c>
      <c r="AL35" s="11"/>
      <c r="AM35" s="9"/>
      <c r="AN35" s="12">
        <f t="shared" si="1"/>
        <v>302297</v>
      </c>
      <c r="AO35" s="99">
        <f t="shared" si="2"/>
        <v>10932834</v>
      </c>
      <c r="AP35" s="99"/>
      <c r="AU35" s="12">
        <v>302297</v>
      </c>
      <c r="AV35" s="99">
        <v>10932834</v>
      </c>
    </row>
    <row r="36" spans="1:48">
      <c r="A36" s="15" t="s">
        <v>35</v>
      </c>
      <c r="B36" s="16"/>
      <c r="C36" s="16"/>
      <c r="D36" s="16"/>
      <c r="E36" s="16"/>
      <c r="F36" s="7">
        <f t="shared" si="3"/>
        <v>0</v>
      </c>
      <c r="G36" s="7">
        <f t="shared" si="4"/>
        <v>0</v>
      </c>
      <c r="H36" s="8">
        <v>1667955000</v>
      </c>
      <c r="I36" s="8"/>
      <c r="J36" s="8">
        <f t="shared" si="5"/>
        <v>1667955000</v>
      </c>
      <c r="K36" s="8"/>
      <c r="L36" s="8"/>
      <c r="M36" s="8"/>
      <c r="N36" s="8"/>
      <c r="O36" s="8">
        <f t="shared" si="6"/>
        <v>333591</v>
      </c>
      <c r="P36" s="9">
        <v>500</v>
      </c>
      <c r="Q36" s="14">
        <v>43733</v>
      </c>
      <c r="R36" s="14">
        <v>18</v>
      </c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1">
        <v>354000</v>
      </c>
      <c r="AK36" s="11">
        <f t="shared" si="0"/>
        <v>54000</v>
      </c>
      <c r="AL36" s="11"/>
      <c r="AM36" s="9"/>
      <c r="AN36" s="12">
        <f t="shared" si="1"/>
        <v>742091</v>
      </c>
      <c r="AO36" s="99">
        <f t="shared" si="2"/>
        <v>11674925</v>
      </c>
      <c r="AP36" s="99"/>
      <c r="AU36" s="12">
        <v>742091</v>
      </c>
      <c r="AV36" s="99">
        <v>11674925</v>
      </c>
    </row>
    <row r="37" spans="1:48">
      <c r="A37" s="15" t="s">
        <v>36</v>
      </c>
      <c r="B37" s="16"/>
      <c r="C37" s="16"/>
      <c r="D37" s="16"/>
      <c r="E37" s="16"/>
      <c r="F37" s="7">
        <f t="shared" si="3"/>
        <v>0</v>
      </c>
      <c r="G37" s="7">
        <f t="shared" si="4"/>
        <v>0</v>
      </c>
      <c r="H37" s="8">
        <v>2000822600</v>
      </c>
      <c r="I37" s="8">
        <v>7596000000</v>
      </c>
      <c r="J37" s="8">
        <f t="shared" si="5"/>
        <v>9596822600</v>
      </c>
      <c r="K37" s="8"/>
      <c r="L37" s="8"/>
      <c r="M37" s="8"/>
      <c r="N37" s="8"/>
      <c r="O37" s="8">
        <f t="shared" si="6"/>
        <v>1919365</v>
      </c>
      <c r="P37" s="9">
        <v>65735</v>
      </c>
      <c r="Q37" s="14">
        <v>43734</v>
      </c>
      <c r="R37" s="14">
        <v>106</v>
      </c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1">
        <v>546000</v>
      </c>
      <c r="AK37" s="11">
        <f t="shared" ref="AK37:AK68" si="7">R37*3000</f>
        <v>318000</v>
      </c>
      <c r="AL37" s="11"/>
      <c r="AM37" s="9"/>
      <c r="AN37" s="12">
        <f t="shared" si="1"/>
        <v>2849100</v>
      </c>
      <c r="AO37" s="99">
        <f t="shared" si="2"/>
        <v>14524025</v>
      </c>
      <c r="AP37" s="99"/>
      <c r="AU37" s="12">
        <v>2849100</v>
      </c>
      <c r="AV37" s="99">
        <v>14524025</v>
      </c>
    </row>
    <row r="38" spans="1:48">
      <c r="A38" s="15" t="s">
        <v>37</v>
      </c>
      <c r="B38" s="16"/>
      <c r="C38" s="16"/>
      <c r="D38" s="16"/>
      <c r="E38" s="16"/>
      <c r="F38" s="7">
        <f t="shared" si="3"/>
        <v>0</v>
      </c>
      <c r="G38" s="7">
        <f t="shared" si="4"/>
        <v>0</v>
      </c>
      <c r="H38" s="8">
        <v>3221970400</v>
      </c>
      <c r="I38" s="8">
        <v>6115500000</v>
      </c>
      <c r="J38" s="8">
        <f t="shared" si="5"/>
        <v>9337470400</v>
      </c>
      <c r="K38" s="8"/>
      <c r="L38" s="8"/>
      <c r="M38" s="8"/>
      <c r="N38" s="8"/>
      <c r="O38" s="8">
        <f t="shared" si="6"/>
        <v>1867494</v>
      </c>
      <c r="P38" s="9">
        <v>104945</v>
      </c>
      <c r="Q38" s="14">
        <v>43735</v>
      </c>
      <c r="R38" s="14">
        <v>135</v>
      </c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1">
        <v>1935000</v>
      </c>
      <c r="AK38" s="11">
        <f t="shared" si="7"/>
        <v>405000</v>
      </c>
      <c r="AL38" s="11"/>
      <c r="AM38" s="9"/>
      <c r="AN38" s="12">
        <f t="shared" si="1"/>
        <v>4312439</v>
      </c>
      <c r="AO38" s="99">
        <f t="shared" si="2"/>
        <v>18836464</v>
      </c>
      <c r="AP38" s="99"/>
      <c r="AU38" s="12">
        <v>4312439</v>
      </c>
      <c r="AV38" s="99">
        <v>18836464</v>
      </c>
    </row>
    <row r="39" spans="1:48">
      <c r="A39" s="15" t="s">
        <v>38</v>
      </c>
      <c r="B39" s="16"/>
      <c r="C39" s="16"/>
      <c r="D39" s="16"/>
      <c r="E39" s="16"/>
      <c r="F39" s="7">
        <f t="shared" si="3"/>
        <v>0</v>
      </c>
      <c r="G39" s="7">
        <f t="shared" si="4"/>
        <v>0</v>
      </c>
      <c r="H39" s="8">
        <v>4659170000</v>
      </c>
      <c r="I39" s="8">
        <v>7708000000</v>
      </c>
      <c r="J39" s="8">
        <f t="shared" si="5"/>
        <v>12367170000</v>
      </c>
      <c r="K39" s="8"/>
      <c r="L39" s="8"/>
      <c r="M39" s="8"/>
      <c r="N39" s="8"/>
      <c r="O39" s="8">
        <f t="shared" si="6"/>
        <v>2473434</v>
      </c>
      <c r="P39" s="9">
        <v>150785</v>
      </c>
      <c r="Q39" s="14">
        <v>43738</v>
      </c>
      <c r="R39" s="14">
        <v>131</v>
      </c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1">
        <v>744000</v>
      </c>
      <c r="AK39" s="11">
        <f t="shared" si="7"/>
        <v>393000</v>
      </c>
      <c r="AL39" s="11">
        <v>1566810</v>
      </c>
      <c r="AM39" s="9"/>
      <c r="AN39" s="12">
        <f t="shared" si="1"/>
        <v>5328029</v>
      </c>
      <c r="AO39" s="99">
        <f t="shared" si="2"/>
        <v>24164493</v>
      </c>
      <c r="AP39" s="99"/>
      <c r="AU39" s="12">
        <v>5328029</v>
      </c>
      <c r="AV39" s="99">
        <v>24164493</v>
      </c>
    </row>
    <row r="40" spans="1:48">
      <c r="A40" s="18" t="s">
        <v>39</v>
      </c>
      <c r="B40" s="19"/>
      <c r="C40" s="19"/>
      <c r="D40" s="19"/>
      <c r="E40" s="19"/>
      <c r="F40" s="20">
        <f t="shared" si="3"/>
        <v>0</v>
      </c>
      <c r="G40" s="20">
        <f t="shared" si="4"/>
        <v>0</v>
      </c>
      <c r="H40" s="20">
        <v>3100978400</v>
      </c>
      <c r="I40" s="20">
        <v>3072500000</v>
      </c>
      <c r="J40" s="20">
        <f t="shared" si="5"/>
        <v>6173478400</v>
      </c>
      <c r="K40" s="20"/>
      <c r="L40" s="20"/>
      <c r="M40" s="20"/>
      <c r="N40" s="20"/>
      <c r="O40" s="8">
        <f t="shared" ref="O40:O103" si="8">ROUND(H40*0.012%+I40*0.02%+K40*0.02%,0)</f>
        <v>986617</v>
      </c>
      <c r="P40" s="20">
        <v>75660</v>
      </c>
      <c r="Q40" s="19">
        <v>43739</v>
      </c>
      <c r="R40" s="19">
        <v>110</v>
      </c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20">
        <v>822000</v>
      </c>
      <c r="AK40" s="11">
        <f t="shared" si="7"/>
        <v>330000</v>
      </c>
      <c r="AL40" s="11"/>
      <c r="AM40" s="20"/>
      <c r="AN40" s="12">
        <f t="shared" si="1"/>
        <v>2214277</v>
      </c>
      <c r="AO40" s="99">
        <f t="shared" si="2"/>
        <v>26378770</v>
      </c>
      <c r="AP40" s="115"/>
      <c r="AU40" s="12">
        <v>2214277</v>
      </c>
      <c r="AV40" s="99">
        <v>26378770</v>
      </c>
    </row>
    <row r="41" spans="1:48">
      <c r="A41" s="15" t="s">
        <v>40</v>
      </c>
      <c r="B41" s="16"/>
      <c r="C41" s="16"/>
      <c r="D41" s="16"/>
      <c r="E41" s="16"/>
      <c r="F41" s="7">
        <f t="shared" si="3"/>
        <v>0</v>
      </c>
      <c r="G41" s="7">
        <f t="shared" si="4"/>
        <v>0</v>
      </c>
      <c r="H41" s="8">
        <v>8103864600</v>
      </c>
      <c r="I41" s="8">
        <v>7672500000</v>
      </c>
      <c r="J41" s="8">
        <f t="shared" si="5"/>
        <v>15776364600</v>
      </c>
      <c r="K41" s="8"/>
      <c r="L41" s="8"/>
      <c r="M41" s="8"/>
      <c r="N41" s="8"/>
      <c r="O41" s="8">
        <f t="shared" si="8"/>
        <v>2506964</v>
      </c>
      <c r="P41" s="9">
        <v>263920</v>
      </c>
      <c r="Q41" s="14">
        <v>43740</v>
      </c>
      <c r="R41" s="14">
        <v>215</v>
      </c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1">
        <v>717000</v>
      </c>
      <c r="AK41" s="11">
        <f t="shared" si="7"/>
        <v>645000</v>
      </c>
      <c r="AL41" s="11"/>
      <c r="AM41" s="9"/>
      <c r="AN41" s="12">
        <f t="shared" si="1"/>
        <v>4132884</v>
      </c>
      <c r="AO41" s="99">
        <f t="shared" si="2"/>
        <v>30511654</v>
      </c>
      <c r="AP41" s="99"/>
      <c r="AU41" s="12">
        <v>4132884</v>
      </c>
      <c r="AV41" s="99">
        <v>30511654</v>
      </c>
    </row>
    <row r="42" spans="1:48">
      <c r="A42" s="15" t="s">
        <v>41</v>
      </c>
      <c r="B42" s="16"/>
      <c r="C42" s="16"/>
      <c r="D42" s="16"/>
      <c r="E42" s="16"/>
      <c r="F42" s="7">
        <f t="shared" si="3"/>
        <v>0</v>
      </c>
      <c r="G42" s="7">
        <f t="shared" si="4"/>
        <v>0</v>
      </c>
      <c r="H42" s="8">
        <v>1578056000</v>
      </c>
      <c r="I42" s="8"/>
      <c r="J42" s="8">
        <f t="shared" si="5"/>
        <v>1578056000</v>
      </c>
      <c r="K42" s="8"/>
      <c r="L42" s="8"/>
      <c r="M42" s="8"/>
      <c r="N42" s="8"/>
      <c r="O42" s="8">
        <f t="shared" si="8"/>
        <v>189367</v>
      </c>
      <c r="P42" s="9">
        <v>50000</v>
      </c>
      <c r="Q42" s="14">
        <v>43741</v>
      </c>
      <c r="R42" s="14">
        <v>36</v>
      </c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1">
        <v>723000</v>
      </c>
      <c r="AK42" s="11">
        <f t="shared" si="7"/>
        <v>108000</v>
      </c>
      <c r="AL42" s="11"/>
      <c r="AM42" s="9"/>
      <c r="AN42" s="12">
        <f t="shared" si="1"/>
        <v>1070367</v>
      </c>
      <c r="AO42" s="99">
        <f t="shared" si="2"/>
        <v>31582021</v>
      </c>
      <c r="AP42" s="99"/>
      <c r="AU42" s="12">
        <v>1070367</v>
      </c>
      <c r="AV42" s="99">
        <v>31582021</v>
      </c>
    </row>
    <row r="43" spans="1:48">
      <c r="A43" s="15" t="s">
        <v>42</v>
      </c>
      <c r="B43" s="16"/>
      <c r="C43" s="16"/>
      <c r="D43" s="16"/>
      <c r="E43" s="16"/>
      <c r="F43" s="7">
        <f t="shared" si="3"/>
        <v>0</v>
      </c>
      <c r="G43" s="7">
        <f t="shared" si="4"/>
        <v>0</v>
      </c>
      <c r="H43" s="8">
        <v>1711073000</v>
      </c>
      <c r="I43" s="8">
        <v>1529500000</v>
      </c>
      <c r="J43" s="8">
        <f t="shared" si="5"/>
        <v>3240573000</v>
      </c>
      <c r="K43" s="8"/>
      <c r="L43" s="8"/>
      <c r="M43" s="8"/>
      <c r="N43" s="8"/>
      <c r="O43" s="8">
        <f t="shared" si="8"/>
        <v>511229</v>
      </c>
      <c r="P43" s="9">
        <v>50000</v>
      </c>
      <c r="Q43" s="14">
        <v>43742</v>
      </c>
      <c r="R43" s="14">
        <v>162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1">
        <v>2025000</v>
      </c>
      <c r="AK43" s="11">
        <f t="shared" si="7"/>
        <v>486000</v>
      </c>
      <c r="AL43" s="11"/>
      <c r="AM43" s="9"/>
      <c r="AN43" s="12">
        <f t="shared" si="1"/>
        <v>3072229</v>
      </c>
      <c r="AO43" s="99">
        <f t="shared" si="2"/>
        <v>34654250</v>
      </c>
      <c r="AP43" s="99"/>
      <c r="AU43" s="12">
        <v>3072229</v>
      </c>
      <c r="AV43" s="99">
        <v>34654250</v>
      </c>
    </row>
    <row r="44" spans="1:48">
      <c r="A44" s="15" t="s">
        <v>43</v>
      </c>
      <c r="B44" s="16"/>
      <c r="C44" s="16"/>
      <c r="D44" s="16"/>
      <c r="E44" s="16"/>
      <c r="F44" s="7">
        <f t="shared" si="3"/>
        <v>0</v>
      </c>
      <c r="G44" s="7">
        <f t="shared" si="4"/>
        <v>0</v>
      </c>
      <c r="H44" s="8">
        <v>1616411300</v>
      </c>
      <c r="I44" s="8">
        <v>1522000000</v>
      </c>
      <c r="J44" s="8">
        <f t="shared" si="5"/>
        <v>3138411300</v>
      </c>
      <c r="K44" s="8"/>
      <c r="L44" s="8"/>
      <c r="M44" s="8"/>
      <c r="N44" s="8"/>
      <c r="O44" s="8">
        <f t="shared" si="8"/>
        <v>498369</v>
      </c>
      <c r="P44" s="9">
        <v>50000</v>
      </c>
      <c r="Q44" s="11">
        <v>43745</v>
      </c>
      <c r="R44" s="11">
        <v>50</v>
      </c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>
        <v>627000</v>
      </c>
      <c r="AK44" s="11">
        <f t="shared" si="7"/>
        <v>150000</v>
      </c>
      <c r="AL44" s="11"/>
      <c r="AM44" s="9"/>
      <c r="AN44" s="12">
        <f t="shared" si="1"/>
        <v>1325369</v>
      </c>
      <c r="AO44" s="99">
        <f t="shared" si="2"/>
        <v>35979619</v>
      </c>
      <c r="AP44" s="99"/>
      <c r="AU44" s="12">
        <v>1325369</v>
      </c>
      <c r="AV44" s="99">
        <v>35979619</v>
      </c>
    </row>
    <row r="45" spans="1:48">
      <c r="A45" s="15" t="s">
        <v>44</v>
      </c>
      <c r="B45" s="16"/>
      <c r="C45" s="16"/>
      <c r="D45" s="16"/>
      <c r="E45" s="16"/>
      <c r="F45" s="7">
        <f t="shared" si="3"/>
        <v>0</v>
      </c>
      <c r="G45" s="7">
        <f t="shared" si="4"/>
        <v>0</v>
      </c>
      <c r="H45" s="8">
        <v>2066760600</v>
      </c>
      <c r="I45" s="8"/>
      <c r="J45" s="8">
        <f t="shared" si="5"/>
        <v>2066760600</v>
      </c>
      <c r="K45" s="8"/>
      <c r="L45" s="8"/>
      <c r="M45" s="8"/>
      <c r="N45" s="8"/>
      <c r="O45" s="8">
        <f t="shared" si="8"/>
        <v>248011</v>
      </c>
      <c r="P45" s="9">
        <v>17095</v>
      </c>
      <c r="Q45" s="11">
        <v>43746</v>
      </c>
      <c r="R45" s="11">
        <v>50</v>
      </c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>
        <v>663000</v>
      </c>
      <c r="AK45" s="11">
        <f t="shared" si="7"/>
        <v>150000</v>
      </c>
      <c r="AL45" s="11"/>
      <c r="AM45" s="9"/>
      <c r="AN45" s="12">
        <f t="shared" si="1"/>
        <v>1078106</v>
      </c>
      <c r="AO45" s="99">
        <f t="shared" si="2"/>
        <v>37057725</v>
      </c>
      <c r="AP45" s="99"/>
      <c r="AU45" s="12">
        <v>1078106</v>
      </c>
      <c r="AV45" s="99">
        <v>37057725</v>
      </c>
    </row>
    <row r="46" spans="1:48">
      <c r="A46" s="15" t="s">
        <v>45</v>
      </c>
      <c r="B46" s="16"/>
      <c r="C46" s="16"/>
      <c r="D46" s="16"/>
      <c r="E46" s="16"/>
      <c r="F46" s="7">
        <f t="shared" si="3"/>
        <v>0</v>
      </c>
      <c r="G46" s="7">
        <f t="shared" si="4"/>
        <v>0</v>
      </c>
      <c r="H46" s="8">
        <v>7122029600</v>
      </c>
      <c r="I46" s="8"/>
      <c r="J46" s="8">
        <f t="shared" si="5"/>
        <v>7122029600</v>
      </c>
      <c r="K46" s="8"/>
      <c r="L46" s="8"/>
      <c r="M46" s="8"/>
      <c r="N46" s="8"/>
      <c r="O46" s="8">
        <f t="shared" si="8"/>
        <v>854644</v>
      </c>
      <c r="P46" s="9">
        <v>233910</v>
      </c>
      <c r="Q46" s="11">
        <v>43747</v>
      </c>
      <c r="R46" s="11">
        <v>103</v>
      </c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>
        <v>486000</v>
      </c>
      <c r="AK46" s="11">
        <f t="shared" si="7"/>
        <v>309000</v>
      </c>
      <c r="AL46" s="11"/>
      <c r="AM46" s="9"/>
      <c r="AN46" s="12">
        <f t="shared" si="1"/>
        <v>1883554</v>
      </c>
      <c r="AO46" s="99">
        <f t="shared" si="2"/>
        <v>38941279</v>
      </c>
      <c r="AP46" s="99"/>
      <c r="AU46" s="12">
        <v>1883554</v>
      </c>
      <c r="AV46" s="99">
        <v>38941279</v>
      </c>
    </row>
    <row r="47" spans="1:48">
      <c r="A47" s="15">
        <v>43748</v>
      </c>
      <c r="B47" s="16">
        <v>926403500</v>
      </c>
      <c r="C47" s="16">
        <v>2021984500</v>
      </c>
      <c r="D47" s="16"/>
      <c r="E47" s="16"/>
      <c r="F47" s="7">
        <f t="shared" si="3"/>
        <v>2948388000</v>
      </c>
      <c r="G47" s="7">
        <f t="shared" si="4"/>
        <v>884516</v>
      </c>
      <c r="H47" s="8">
        <v>2271421400</v>
      </c>
      <c r="I47" s="8"/>
      <c r="J47" s="8">
        <f t="shared" si="5"/>
        <v>2271421400</v>
      </c>
      <c r="K47" s="8"/>
      <c r="L47" s="8"/>
      <c r="M47" s="8"/>
      <c r="N47" s="8"/>
      <c r="O47" s="8">
        <f t="shared" si="8"/>
        <v>272571</v>
      </c>
      <c r="P47" s="9">
        <v>22520</v>
      </c>
      <c r="Q47" s="11">
        <v>43748</v>
      </c>
      <c r="R47" s="11">
        <v>108</v>
      </c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>
        <v>456000</v>
      </c>
      <c r="AK47" s="11">
        <f t="shared" si="7"/>
        <v>324000</v>
      </c>
      <c r="AL47" s="11"/>
      <c r="AM47" s="9">
        <v>900000</v>
      </c>
      <c r="AN47" s="12">
        <f t="shared" si="1"/>
        <v>2859607</v>
      </c>
      <c r="AO47" s="99">
        <f t="shared" si="2"/>
        <v>41800886</v>
      </c>
      <c r="AP47" s="99"/>
      <c r="AU47" s="12">
        <v>2859607</v>
      </c>
      <c r="AV47" s="99">
        <v>41800886</v>
      </c>
    </row>
    <row r="48" spans="1:48">
      <c r="A48" s="15">
        <v>43749</v>
      </c>
      <c r="B48" s="16"/>
      <c r="C48" s="16">
        <v>79745000</v>
      </c>
      <c r="D48" s="16"/>
      <c r="E48" s="16"/>
      <c r="F48" s="7">
        <f t="shared" si="3"/>
        <v>79745000</v>
      </c>
      <c r="G48" s="7">
        <f t="shared" si="4"/>
        <v>23924</v>
      </c>
      <c r="H48" s="8">
        <v>1246800400</v>
      </c>
      <c r="I48" s="8"/>
      <c r="J48" s="8">
        <f t="shared" si="5"/>
        <v>1246800400</v>
      </c>
      <c r="K48" s="8"/>
      <c r="L48" s="8"/>
      <c r="M48" s="8"/>
      <c r="N48" s="8"/>
      <c r="O48" s="8">
        <f t="shared" si="8"/>
        <v>149616</v>
      </c>
      <c r="P48" s="9">
        <v>39325</v>
      </c>
      <c r="Q48" s="11">
        <v>43749</v>
      </c>
      <c r="R48" s="11">
        <v>14</v>
      </c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>
        <v>1260000</v>
      </c>
      <c r="AK48" s="11">
        <f t="shared" si="7"/>
        <v>42000</v>
      </c>
      <c r="AL48" s="11"/>
      <c r="AM48" s="9"/>
      <c r="AN48" s="12">
        <f t="shared" si="1"/>
        <v>1514865</v>
      </c>
      <c r="AO48" s="99">
        <f t="shared" si="2"/>
        <v>43315751</v>
      </c>
      <c r="AP48" s="99"/>
      <c r="AU48" s="12">
        <v>1514865</v>
      </c>
      <c r="AV48" s="99">
        <v>43315751</v>
      </c>
    </row>
    <row r="49" spans="1:48">
      <c r="A49" s="15" t="s">
        <v>46</v>
      </c>
      <c r="B49" s="16"/>
      <c r="C49" s="16"/>
      <c r="D49" s="16"/>
      <c r="E49" s="16"/>
      <c r="F49" s="7">
        <f t="shared" si="3"/>
        <v>0</v>
      </c>
      <c r="G49" s="7">
        <f t="shared" si="4"/>
        <v>0</v>
      </c>
      <c r="H49" s="8">
        <v>2767844700</v>
      </c>
      <c r="I49" s="8"/>
      <c r="J49" s="8">
        <f t="shared" si="5"/>
        <v>2767844700</v>
      </c>
      <c r="K49" s="8"/>
      <c r="L49" s="8"/>
      <c r="M49" s="8"/>
      <c r="N49" s="8"/>
      <c r="O49" s="8">
        <f t="shared" si="8"/>
        <v>332141</v>
      </c>
      <c r="P49" s="9">
        <v>2250</v>
      </c>
      <c r="Q49" s="11">
        <v>43752</v>
      </c>
      <c r="R49" s="11">
        <v>141</v>
      </c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>
        <v>615000</v>
      </c>
      <c r="AK49" s="11">
        <f t="shared" si="7"/>
        <v>423000</v>
      </c>
      <c r="AL49" s="11"/>
      <c r="AM49" s="9"/>
      <c r="AN49" s="12">
        <f t="shared" si="1"/>
        <v>1372391</v>
      </c>
      <c r="AO49" s="99">
        <f t="shared" si="2"/>
        <v>44688142</v>
      </c>
      <c r="AP49" s="99"/>
      <c r="AU49" s="12">
        <v>1372391</v>
      </c>
      <c r="AV49" s="99">
        <v>44688142</v>
      </c>
    </row>
    <row r="50" spans="1:48">
      <c r="A50" s="15" t="s">
        <v>47</v>
      </c>
      <c r="B50" s="16"/>
      <c r="C50" s="16"/>
      <c r="D50" s="16"/>
      <c r="E50" s="16"/>
      <c r="F50" s="7">
        <f t="shared" si="3"/>
        <v>0</v>
      </c>
      <c r="G50" s="7">
        <f t="shared" si="4"/>
        <v>0</v>
      </c>
      <c r="H50" s="8">
        <v>5851847600</v>
      </c>
      <c r="I50" s="8"/>
      <c r="J50" s="8">
        <f t="shared" si="5"/>
        <v>5851847600</v>
      </c>
      <c r="K50" s="8"/>
      <c r="L50" s="8"/>
      <c r="M50" s="8"/>
      <c r="N50" s="8"/>
      <c r="O50" s="8">
        <f t="shared" si="8"/>
        <v>702222</v>
      </c>
      <c r="P50" s="9">
        <v>114990</v>
      </c>
      <c r="Q50" s="11">
        <v>43753</v>
      </c>
      <c r="R50" s="11">
        <v>160</v>
      </c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>
        <v>663000</v>
      </c>
      <c r="AK50" s="11">
        <f t="shared" si="7"/>
        <v>480000</v>
      </c>
      <c r="AL50" s="11"/>
      <c r="AM50" s="9"/>
      <c r="AN50" s="12">
        <f t="shared" si="1"/>
        <v>1960212</v>
      </c>
      <c r="AO50" s="99">
        <f t="shared" si="2"/>
        <v>46648354</v>
      </c>
      <c r="AP50" s="99"/>
      <c r="AU50" s="12">
        <v>1960212</v>
      </c>
      <c r="AV50" s="99">
        <v>46648354</v>
      </c>
    </row>
    <row r="51" spans="1:48">
      <c r="A51" s="15" t="s">
        <v>48</v>
      </c>
      <c r="B51" s="16"/>
      <c r="C51" s="16"/>
      <c r="D51" s="16"/>
      <c r="E51" s="16"/>
      <c r="F51" s="7">
        <f t="shared" si="3"/>
        <v>0</v>
      </c>
      <c r="G51" s="7">
        <f t="shared" si="4"/>
        <v>0</v>
      </c>
      <c r="H51" s="8">
        <v>3327274000</v>
      </c>
      <c r="I51" s="8"/>
      <c r="J51" s="8">
        <f t="shared" si="5"/>
        <v>3327274000</v>
      </c>
      <c r="K51" s="8"/>
      <c r="L51" s="8"/>
      <c r="M51" s="8"/>
      <c r="N51" s="8"/>
      <c r="O51" s="8">
        <f t="shared" si="8"/>
        <v>399273</v>
      </c>
      <c r="P51" s="9"/>
      <c r="Q51" s="11">
        <v>43754</v>
      </c>
      <c r="R51" s="11">
        <v>44</v>
      </c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>
        <v>771000</v>
      </c>
      <c r="AK51" s="11">
        <f t="shared" si="7"/>
        <v>132000</v>
      </c>
      <c r="AL51" s="11"/>
      <c r="AM51" s="9"/>
      <c r="AN51" s="12">
        <f t="shared" si="1"/>
        <v>1302273</v>
      </c>
      <c r="AO51" s="99">
        <f t="shared" si="2"/>
        <v>47950627</v>
      </c>
      <c r="AP51" s="99"/>
      <c r="AU51" s="12">
        <v>1302273</v>
      </c>
      <c r="AV51" s="99">
        <v>47950627</v>
      </c>
    </row>
    <row r="52" spans="1:48">
      <c r="A52" s="15" t="s">
        <v>49</v>
      </c>
      <c r="B52" s="16"/>
      <c r="C52" s="16"/>
      <c r="D52" s="16"/>
      <c r="E52" s="16"/>
      <c r="F52" s="7">
        <f t="shared" si="3"/>
        <v>0</v>
      </c>
      <c r="G52" s="7">
        <f t="shared" si="4"/>
        <v>0</v>
      </c>
      <c r="H52" s="8">
        <v>7424221500</v>
      </c>
      <c r="I52" s="8"/>
      <c r="J52" s="8">
        <f t="shared" si="5"/>
        <v>7424221500</v>
      </c>
      <c r="K52" s="8"/>
      <c r="L52" s="8"/>
      <c r="M52" s="8"/>
      <c r="N52" s="8"/>
      <c r="O52" s="8">
        <f t="shared" si="8"/>
        <v>890907</v>
      </c>
      <c r="P52" s="9">
        <v>39825</v>
      </c>
      <c r="Q52" s="11">
        <v>43755</v>
      </c>
      <c r="R52" s="11">
        <v>111</v>
      </c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>
        <v>840000</v>
      </c>
      <c r="AK52" s="11">
        <f t="shared" si="7"/>
        <v>333000</v>
      </c>
      <c r="AL52" s="11"/>
      <c r="AM52" s="9"/>
      <c r="AN52" s="12">
        <f t="shared" si="1"/>
        <v>2103732</v>
      </c>
      <c r="AO52" s="99">
        <f t="shared" si="2"/>
        <v>50054359</v>
      </c>
      <c r="AP52" s="99"/>
      <c r="AU52" s="12">
        <v>2103732</v>
      </c>
      <c r="AV52" s="99">
        <v>50054359</v>
      </c>
    </row>
    <row r="53" spans="1:48">
      <c r="A53" s="15" t="s">
        <v>50</v>
      </c>
      <c r="B53" s="16"/>
      <c r="C53" s="16"/>
      <c r="D53" s="16"/>
      <c r="E53" s="16"/>
      <c r="F53" s="7">
        <f t="shared" si="3"/>
        <v>0</v>
      </c>
      <c r="G53" s="7">
        <f t="shared" si="4"/>
        <v>0</v>
      </c>
      <c r="H53" s="8">
        <v>3829719600</v>
      </c>
      <c r="I53" s="8"/>
      <c r="J53" s="8">
        <f t="shared" si="5"/>
        <v>3829719600</v>
      </c>
      <c r="K53" s="8"/>
      <c r="L53" s="8"/>
      <c r="M53" s="8"/>
      <c r="N53" s="8"/>
      <c r="O53" s="8">
        <f t="shared" si="8"/>
        <v>459566</v>
      </c>
      <c r="P53" s="9">
        <v>85010</v>
      </c>
      <c r="Q53" s="11">
        <v>43756</v>
      </c>
      <c r="R53" s="11">
        <v>75</v>
      </c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>
        <v>2079000</v>
      </c>
      <c r="AK53" s="11">
        <f t="shared" si="7"/>
        <v>225000</v>
      </c>
      <c r="AL53" s="11"/>
      <c r="AM53" s="9"/>
      <c r="AN53" s="12">
        <f t="shared" si="1"/>
        <v>2848576</v>
      </c>
      <c r="AO53" s="99">
        <f t="shared" si="2"/>
        <v>52902935</v>
      </c>
      <c r="AP53" s="99"/>
      <c r="AU53" s="12">
        <v>2848576</v>
      </c>
      <c r="AV53" s="99">
        <v>52902935</v>
      </c>
    </row>
    <row r="54" spans="1:48">
      <c r="A54" s="15" t="s">
        <v>51</v>
      </c>
      <c r="B54" s="16"/>
      <c r="C54" s="16"/>
      <c r="D54" s="16"/>
      <c r="E54" s="16"/>
      <c r="F54" s="7">
        <f t="shared" si="3"/>
        <v>0</v>
      </c>
      <c r="G54" s="7">
        <f t="shared" si="4"/>
        <v>0</v>
      </c>
      <c r="H54" s="8">
        <v>2514882400</v>
      </c>
      <c r="I54" s="8"/>
      <c r="J54" s="8">
        <f t="shared" si="5"/>
        <v>2514882400</v>
      </c>
      <c r="K54" s="8"/>
      <c r="L54" s="8"/>
      <c r="M54" s="8"/>
      <c r="N54" s="8"/>
      <c r="O54" s="8">
        <f t="shared" si="8"/>
        <v>301786</v>
      </c>
      <c r="P54" s="9">
        <v>31505</v>
      </c>
      <c r="Q54" s="11">
        <v>43759</v>
      </c>
      <c r="R54" s="11">
        <v>27</v>
      </c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>
        <v>714000</v>
      </c>
      <c r="AK54" s="11">
        <f t="shared" si="7"/>
        <v>81000</v>
      </c>
      <c r="AL54" s="11"/>
      <c r="AM54" s="9"/>
      <c r="AN54" s="12">
        <f t="shared" si="1"/>
        <v>1128291</v>
      </c>
      <c r="AO54" s="99">
        <f t="shared" si="2"/>
        <v>54031226</v>
      </c>
      <c r="AP54" s="99"/>
      <c r="AQ54" s="55">
        <v>9332667291896</v>
      </c>
      <c r="AR54" s="55">
        <v>17860561800</v>
      </c>
      <c r="AS54" s="55">
        <v>2514882400</v>
      </c>
      <c r="AT54" s="55">
        <v>0</v>
      </c>
      <c r="AU54" s="12">
        <v>1128291</v>
      </c>
      <c r="AV54" s="99">
        <v>54031226</v>
      </c>
    </row>
    <row r="55" spans="1:48">
      <c r="A55" s="15" t="s">
        <v>52</v>
      </c>
      <c r="B55" s="16"/>
      <c r="C55" s="16"/>
      <c r="D55" s="16"/>
      <c r="E55" s="16"/>
      <c r="F55" s="7">
        <f t="shared" si="3"/>
        <v>0</v>
      </c>
      <c r="G55" s="7">
        <f t="shared" si="4"/>
        <v>0</v>
      </c>
      <c r="H55" s="8">
        <v>3204848100</v>
      </c>
      <c r="I55" s="8"/>
      <c r="J55" s="8">
        <f t="shared" si="5"/>
        <v>3204848100</v>
      </c>
      <c r="K55" s="8"/>
      <c r="L55" s="8"/>
      <c r="M55" s="8"/>
      <c r="N55" s="8"/>
      <c r="O55" s="8">
        <f t="shared" si="8"/>
        <v>384582</v>
      </c>
      <c r="P55" s="9">
        <v>3000</v>
      </c>
      <c r="Q55" s="11">
        <v>43760</v>
      </c>
      <c r="R55" s="11">
        <v>59</v>
      </c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>
        <v>837000</v>
      </c>
      <c r="AK55" s="11">
        <f t="shared" si="7"/>
        <v>177000</v>
      </c>
      <c r="AL55" s="11"/>
      <c r="AM55" s="9"/>
      <c r="AN55" s="12">
        <f t="shared" si="1"/>
        <v>1401582</v>
      </c>
      <c r="AO55" s="99">
        <f t="shared" si="2"/>
        <v>55432808</v>
      </c>
      <c r="AP55" s="99"/>
      <c r="AQ55" s="55">
        <v>9076212067800</v>
      </c>
      <c r="AR55" s="55">
        <v>7079854600</v>
      </c>
      <c r="AS55" s="55">
        <v>3204848100</v>
      </c>
      <c r="AT55" s="55">
        <v>0</v>
      </c>
      <c r="AU55" s="12">
        <v>1401582</v>
      </c>
      <c r="AV55" s="99">
        <v>55432808</v>
      </c>
    </row>
    <row r="56" spans="1:48">
      <c r="A56" s="15" t="s">
        <v>53</v>
      </c>
      <c r="B56" s="16"/>
      <c r="C56" s="16"/>
      <c r="D56" s="16"/>
      <c r="E56" s="16"/>
      <c r="F56" s="7">
        <f t="shared" si="3"/>
        <v>0</v>
      </c>
      <c r="G56" s="7">
        <f t="shared" si="4"/>
        <v>0</v>
      </c>
      <c r="H56" s="8">
        <v>5687257800</v>
      </c>
      <c r="I56" s="8"/>
      <c r="J56" s="8">
        <f t="shared" si="5"/>
        <v>5687257800</v>
      </c>
      <c r="K56" s="8"/>
      <c r="L56" s="8"/>
      <c r="M56" s="8"/>
      <c r="N56" s="8"/>
      <c r="O56" s="8">
        <f t="shared" si="8"/>
        <v>682471</v>
      </c>
      <c r="P56" s="9">
        <v>186530</v>
      </c>
      <c r="Q56" s="11">
        <v>43761</v>
      </c>
      <c r="R56" s="11">
        <v>108</v>
      </c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>
        <v>627000</v>
      </c>
      <c r="AK56" s="11">
        <f t="shared" si="7"/>
        <v>324000</v>
      </c>
      <c r="AL56" s="11"/>
      <c r="AM56" s="9"/>
      <c r="AN56" s="12">
        <f t="shared" si="1"/>
        <v>1820001</v>
      </c>
      <c r="AO56" s="99">
        <f t="shared" si="2"/>
        <v>57252809</v>
      </c>
      <c r="AP56" s="99"/>
      <c r="AQ56" s="55">
        <v>7945154031760</v>
      </c>
      <c r="AR56" s="55">
        <v>11381827200</v>
      </c>
      <c r="AS56" s="55">
        <v>5687257800</v>
      </c>
      <c r="AT56" s="55">
        <v>0</v>
      </c>
      <c r="AU56" s="12">
        <v>1820001</v>
      </c>
      <c r="AV56" s="99">
        <v>57252809</v>
      </c>
    </row>
    <row r="57" spans="1:48">
      <c r="A57" s="15" t="s">
        <v>54</v>
      </c>
      <c r="B57" s="16"/>
      <c r="C57" s="16"/>
      <c r="D57" s="16"/>
      <c r="E57" s="16"/>
      <c r="F57" s="7">
        <f t="shared" si="3"/>
        <v>0</v>
      </c>
      <c r="G57" s="7">
        <f t="shared" si="4"/>
        <v>0</v>
      </c>
      <c r="H57" s="8">
        <v>4853521500</v>
      </c>
      <c r="I57" s="8">
        <v>1537800000</v>
      </c>
      <c r="J57" s="8">
        <f t="shared" si="5"/>
        <v>6391321500</v>
      </c>
      <c r="K57" s="8"/>
      <c r="L57" s="8"/>
      <c r="M57" s="8"/>
      <c r="N57" s="8"/>
      <c r="O57" s="8">
        <f t="shared" si="8"/>
        <v>889983</v>
      </c>
      <c r="P57" s="9">
        <v>158435</v>
      </c>
      <c r="Q57" s="11">
        <v>43762</v>
      </c>
      <c r="R57" s="11">
        <v>46</v>
      </c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>
        <v>639000</v>
      </c>
      <c r="AK57" s="11">
        <f t="shared" si="7"/>
        <v>138000</v>
      </c>
      <c r="AL57" s="11"/>
      <c r="AM57" s="9"/>
      <c r="AN57" s="12">
        <f t="shared" si="1"/>
        <v>1825418</v>
      </c>
      <c r="AO57" s="99">
        <f t="shared" si="2"/>
        <v>59078227</v>
      </c>
      <c r="AP57" s="99"/>
      <c r="AQ57" s="55">
        <v>8174370889800</v>
      </c>
      <c r="AR57" s="55">
        <v>21961110000</v>
      </c>
      <c r="AS57" s="55">
        <v>6391321500</v>
      </c>
      <c r="AT57" s="55">
        <v>0</v>
      </c>
      <c r="AU57" s="12">
        <v>1825418</v>
      </c>
      <c r="AV57" s="99">
        <v>59078227</v>
      </c>
    </row>
    <row r="58" spans="1:48">
      <c r="A58" s="15" t="s">
        <v>55</v>
      </c>
      <c r="B58" s="16"/>
      <c r="C58" s="16"/>
      <c r="D58" s="16"/>
      <c r="E58" s="16"/>
      <c r="F58" s="7">
        <f t="shared" si="3"/>
        <v>0</v>
      </c>
      <c r="G58" s="7">
        <f t="shared" si="4"/>
        <v>0</v>
      </c>
      <c r="H58" s="8">
        <v>847439700</v>
      </c>
      <c r="I58" s="8"/>
      <c r="J58" s="8">
        <f t="shared" si="5"/>
        <v>847439700</v>
      </c>
      <c r="K58" s="8"/>
      <c r="L58" s="8"/>
      <c r="M58" s="8"/>
      <c r="N58" s="8"/>
      <c r="O58" s="8">
        <f t="shared" si="8"/>
        <v>101693</v>
      </c>
      <c r="P58" s="9">
        <v>7745</v>
      </c>
      <c r="Q58" s="14">
        <v>43763</v>
      </c>
      <c r="R58" s="14">
        <v>51</v>
      </c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1">
        <v>1566000</v>
      </c>
      <c r="AK58" s="11">
        <f t="shared" si="7"/>
        <v>153000</v>
      </c>
      <c r="AL58" s="11"/>
      <c r="AM58" s="9"/>
      <c r="AN58" s="12">
        <f t="shared" si="1"/>
        <v>1828438</v>
      </c>
      <c r="AO58" s="99">
        <f t="shared" si="2"/>
        <v>60906665</v>
      </c>
      <c r="AP58" s="99"/>
      <c r="AQ58" s="55">
        <v>8650800838600</v>
      </c>
      <c r="AR58" s="55">
        <v>21643683400</v>
      </c>
      <c r="AS58" s="55">
        <v>847439700</v>
      </c>
      <c r="AT58" s="55">
        <v>0</v>
      </c>
      <c r="AU58" s="12">
        <v>1828438</v>
      </c>
      <c r="AV58" s="99">
        <v>60906665</v>
      </c>
    </row>
    <row r="59" spans="1:48">
      <c r="A59" s="5">
        <v>43766</v>
      </c>
      <c r="B59" s="6"/>
      <c r="C59" s="6"/>
      <c r="D59" s="6"/>
      <c r="E59" s="6"/>
      <c r="F59" s="7">
        <f t="shared" si="3"/>
        <v>0</v>
      </c>
      <c r="G59" s="7">
        <f t="shared" si="4"/>
        <v>0</v>
      </c>
      <c r="H59" s="8">
        <v>3007625700</v>
      </c>
      <c r="I59" s="8">
        <v>4626000000</v>
      </c>
      <c r="J59" s="8">
        <f t="shared" si="5"/>
        <v>7633625700</v>
      </c>
      <c r="K59" s="8"/>
      <c r="L59" s="8"/>
      <c r="M59" s="8"/>
      <c r="N59" s="8"/>
      <c r="O59" s="8">
        <f t="shared" si="8"/>
        <v>1286115</v>
      </c>
      <c r="P59" s="9">
        <v>95665</v>
      </c>
      <c r="Q59" s="11">
        <v>43766</v>
      </c>
      <c r="R59" s="14">
        <v>100</v>
      </c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1">
        <v>624000</v>
      </c>
      <c r="AK59" s="11">
        <f t="shared" si="7"/>
        <v>300000</v>
      </c>
      <c r="AL59" s="11"/>
      <c r="AM59" s="9"/>
      <c r="AN59" s="12">
        <f t="shared" si="1"/>
        <v>2305780</v>
      </c>
      <c r="AO59" s="99">
        <f t="shared" si="2"/>
        <v>63212445</v>
      </c>
      <c r="AP59" s="99"/>
      <c r="AQ59" s="55">
        <v>8359350969600</v>
      </c>
      <c r="AR59" s="55">
        <v>15380000000</v>
      </c>
      <c r="AS59" s="55">
        <v>7633625700</v>
      </c>
      <c r="AT59" s="55">
        <v>0</v>
      </c>
      <c r="AU59" s="12">
        <v>2305780</v>
      </c>
      <c r="AV59" s="99">
        <v>63212445</v>
      </c>
    </row>
    <row r="60" spans="1:48">
      <c r="A60" s="5">
        <v>43767</v>
      </c>
      <c r="B60" s="6"/>
      <c r="C60" s="6"/>
      <c r="D60" s="6"/>
      <c r="E60" s="6"/>
      <c r="F60" s="7">
        <f t="shared" si="3"/>
        <v>0</v>
      </c>
      <c r="G60" s="7">
        <f t="shared" si="4"/>
        <v>0</v>
      </c>
      <c r="H60" s="8">
        <v>4240271300</v>
      </c>
      <c r="I60" s="8"/>
      <c r="J60" s="8">
        <f t="shared" si="5"/>
        <v>4240271300</v>
      </c>
      <c r="K60" s="8"/>
      <c r="L60" s="8"/>
      <c r="M60" s="8"/>
      <c r="N60" s="8"/>
      <c r="O60" s="8">
        <f t="shared" si="8"/>
        <v>508833</v>
      </c>
      <c r="P60" s="9">
        <v>62565</v>
      </c>
      <c r="Q60" s="11">
        <v>43767</v>
      </c>
      <c r="R60" s="14">
        <v>44</v>
      </c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1">
        <v>642000</v>
      </c>
      <c r="AK60" s="11">
        <f t="shared" si="7"/>
        <v>132000</v>
      </c>
      <c r="AL60" s="11"/>
      <c r="AM60" s="9"/>
      <c r="AN60" s="12">
        <f t="shared" si="1"/>
        <v>1345398</v>
      </c>
      <c r="AO60" s="99">
        <f t="shared" si="2"/>
        <v>64557843</v>
      </c>
      <c r="AP60" s="99"/>
      <c r="AQ60" s="55">
        <v>9187598857400</v>
      </c>
      <c r="AR60" s="55">
        <v>12643529000</v>
      </c>
      <c r="AS60" s="55">
        <v>4240271300</v>
      </c>
      <c r="AT60" s="55">
        <v>0</v>
      </c>
      <c r="AU60" s="12">
        <v>1345398</v>
      </c>
      <c r="AV60" s="99">
        <v>64557843</v>
      </c>
    </row>
    <row r="61" spans="1:48">
      <c r="A61" s="5">
        <v>43768</v>
      </c>
      <c r="B61" s="6"/>
      <c r="C61" s="6"/>
      <c r="D61" s="6"/>
      <c r="E61" s="6"/>
      <c r="F61" s="7">
        <f t="shared" si="3"/>
        <v>0</v>
      </c>
      <c r="G61" s="7">
        <f t="shared" si="4"/>
        <v>0</v>
      </c>
      <c r="H61" s="8">
        <v>6421991800</v>
      </c>
      <c r="I61" s="8"/>
      <c r="J61" s="8">
        <f t="shared" si="5"/>
        <v>6421991800</v>
      </c>
      <c r="K61" s="8"/>
      <c r="L61" s="8"/>
      <c r="M61" s="8"/>
      <c r="N61" s="8"/>
      <c r="O61" s="8">
        <f t="shared" si="8"/>
        <v>770639</v>
      </c>
      <c r="P61" s="9">
        <v>8100</v>
      </c>
      <c r="Q61" s="11">
        <v>43768</v>
      </c>
      <c r="R61" s="14">
        <v>87</v>
      </c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1">
        <v>885000</v>
      </c>
      <c r="AK61" s="11">
        <f t="shared" si="7"/>
        <v>261000</v>
      </c>
      <c r="AL61" s="11"/>
      <c r="AM61" s="9"/>
      <c r="AN61" s="12">
        <f t="shared" si="1"/>
        <v>1924739</v>
      </c>
      <c r="AO61" s="99">
        <f t="shared" si="2"/>
        <v>66482582</v>
      </c>
      <c r="AP61" s="99"/>
      <c r="AQ61" s="55">
        <v>11561198013200</v>
      </c>
      <c r="AR61" s="55">
        <v>24725615000</v>
      </c>
      <c r="AS61" s="55">
        <v>6421991800</v>
      </c>
      <c r="AT61" s="55">
        <v>0</v>
      </c>
      <c r="AU61" s="12">
        <v>1924739</v>
      </c>
      <c r="AV61" s="99">
        <v>66482582</v>
      </c>
    </row>
    <row r="62" spans="1:48">
      <c r="A62" s="5">
        <v>43769</v>
      </c>
      <c r="B62" s="6"/>
      <c r="C62" s="6"/>
      <c r="D62" s="6"/>
      <c r="E62" s="6"/>
      <c r="F62" s="7">
        <f t="shared" si="3"/>
        <v>0</v>
      </c>
      <c r="G62" s="7">
        <f t="shared" si="4"/>
        <v>0</v>
      </c>
      <c r="H62" s="8">
        <v>4160484400</v>
      </c>
      <c r="I62" s="8"/>
      <c r="J62" s="8">
        <f t="shared" si="5"/>
        <v>4160484400</v>
      </c>
      <c r="K62" s="8"/>
      <c r="L62" s="8"/>
      <c r="M62" s="8"/>
      <c r="N62" s="8"/>
      <c r="O62" s="8">
        <f t="shared" si="8"/>
        <v>499258</v>
      </c>
      <c r="P62" s="9">
        <v>64370</v>
      </c>
      <c r="Q62" s="11">
        <v>43769</v>
      </c>
      <c r="R62" s="11">
        <v>77</v>
      </c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>
        <v>792000</v>
      </c>
      <c r="AK62" s="11">
        <f t="shared" si="7"/>
        <v>231000</v>
      </c>
      <c r="AL62" s="11">
        <v>2000000</v>
      </c>
      <c r="AM62" s="9">
        <v>230355</v>
      </c>
      <c r="AN62" s="12">
        <f t="shared" si="1"/>
        <v>3816983</v>
      </c>
      <c r="AO62" s="99">
        <f t="shared" si="2"/>
        <v>70299565</v>
      </c>
      <c r="AP62" s="99"/>
      <c r="AQ62" s="55">
        <v>9688432794200</v>
      </c>
      <c r="AR62" s="55">
        <v>10659938400</v>
      </c>
      <c r="AS62" s="55">
        <v>4160484400</v>
      </c>
      <c r="AT62" s="55">
        <v>0</v>
      </c>
      <c r="AU62" s="12">
        <v>3816983</v>
      </c>
      <c r="AV62" s="99">
        <v>70299565</v>
      </c>
    </row>
    <row r="63" spans="1:48">
      <c r="A63" s="5">
        <v>43770</v>
      </c>
      <c r="B63" s="6"/>
      <c r="C63" s="6">
        <v>22764000000</v>
      </c>
      <c r="D63" s="6"/>
      <c r="E63" s="6"/>
      <c r="F63" s="7">
        <f t="shared" si="3"/>
        <v>22764000000</v>
      </c>
      <c r="G63" s="7">
        <f t="shared" si="4"/>
        <v>6829200</v>
      </c>
      <c r="H63" s="8">
        <v>5796446900</v>
      </c>
      <c r="I63" s="8">
        <v>3102400000</v>
      </c>
      <c r="J63" s="8">
        <f t="shared" si="5"/>
        <v>8898846900</v>
      </c>
      <c r="K63" s="8"/>
      <c r="L63" s="8"/>
      <c r="M63" s="8"/>
      <c r="N63" s="8"/>
      <c r="O63" s="8">
        <f t="shared" si="8"/>
        <v>1316054</v>
      </c>
      <c r="P63" s="9">
        <v>158735</v>
      </c>
      <c r="Q63" s="11">
        <v>43770</v>
      </c>
      <c r="R63" s="11">
        <v>77</v>
      </c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>
        <f>241*3000*3</f>
        <v>2169000</v>
      </c>
      <c r="AK63" s="11">
        <f t="shared" si="7"/>
        <v>231000</v>
      </c>
      <c r="AL63" s="11"/>
      <c r="AM63" s="9"/>
      <c r="AN63" s="12">
        <f t="shared" si="1"/>
        <v>10703989</v>
      </c>
      <c r="AO63" s="99">
        <f t="shared" si="2"/>
        <v>81003554</v>
      </c>
      <c r="AP63" s="99"/>
      <c r="AQ63" s="55">
        <v>11760465069120</v>
      </c>
      <c r="AR63" s="55">
        <v>32227660600</v>
      </c>
      <c r="AS63" s="55">
        <v>8898846900</v>
      </c>
      <c r="AT63" s="55">
        <v>0</v>
      </c>
      <c r="AU63" s="12">
        <v>10703989</v>
      </c>
      <c r="AV63" s="99">
        <v>81003554</v>
      </c>
    </row>
    <row r="64" spans="1:48">
      <c r="A64" s="5">
        <v>43773</v>
      </c>
      <c r="B64" s="6"/>
      <c r="C64" s="6"/>
      <c r="D64" s="6"/>
      <c r="E64" s="6"/>
      <c r="F64" s="7">
        <f t="shared" si="3"/>
        <v>0</v>
      </c>
      <c r="G64" s="7">
        <f t="shared" si="4"/>
        <v>0</v>
      </c>
      <c r="H64" s="8">
        <v>7606622600</v>
      </c>
      <c r="I64" s="8"/>
      <c r="J64" s="8">
        <f t="shared" si="5"/>
        <v>7606622600</v>
      </c>
      <c r="K64" s="8"/>
      <c r="L64" s="8"/>
      <c r="M64" s="8"/>
      <c r="N64" s="8"/>
      <c r="O64" s="8">
        <f t="shared" si="8"/>
        <v>912795</v>
      </c>
      <c r="P64" s="9">
        <v>243680</v>
      </c>
      <c r="Q64" s="11">
        <v>43773</v>
      </c>
      <c r="R64" s="11">
        <v>122</v>
      </c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>
        <v>561000</v>
      </c>
      <c r="AK64" s="11">
        <f t="shared" si="7"/>
        <v>366000</v>
      </c>
      <c r="AL64" s="11"/>
      <c r="AM64" s="9"/>
      <c r="AN64" s="12">
        <f t="shared" si="1"/>
        <v>2083475</v>
      </c>
      <c r="AO64" s="99">
        <f t="shared" si="2"/>
        <v>83087029</v>
      </c>
      <c r="AP64" s="99"/>
      <c r="AQ64" s="55">
        <v>11575495061600</v>
      </c>
      <c r="AR64" s="55">
        <v>43422057200</v>
      </c>
      <c r="AS64" s="55">
        <v>7606622600</v>
      </c>
      <c r="AT64" s="55">
        <v>0</v>
      </c>
      <c r="AU64" s="12">
        <v>2083475</v>
      </c>
      <c r="AV64" s="99">
        <v>83087029</v>
      </c>
    </row>
    <row r="65" spans="1:48">
      <c r="A65" s="5">
        <v>43774</v>
      </c>
      <c r="B65" s="6"/>
      <c r="C65" s="6"/>
      <c r="D65" s="6"/>
      <c r="E65" s="6"/>
      <c r="F65" s="7">
        <f t="shared" si="3"/>
        <v>0</v>
      </c>
      <c r="G65" s="7">
        <f t="shared" si="4"/>
        <v>0</v>
      </c>
      <c r="H65" s="8">
        <v>4673615800</v>
      </c>
      <c r="I65" s="8"/>
      <c r="J65" s="8">
        <f t="shared" si="5"/>
        <v>4673615800</v>
      </c>
      <c r="K65" s="8"/>
      <c r="L65" s="8"/>
      <c r="M65" s="8"/>
      <c r="N65" s="8"/>
      <c r="O65" s="8">
        <f t="shared" si="8"/>
        <v>560834</v>
      </c>
      <c r="P65" s="9">
        <v>149175</v>
      </c>
      <c r="Q65" s="11">
        <v>43774</v>
      </c>
      <c r="R65" s="11">
        <v>146</v>
      </c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>
        <v>429000</v>
      </c>
      <c r="AK65" s="11">
        <f t="shared" si="7"/>
        <v>438000</v>
      </c>
      <c r="AL65" s="11"/>
      <c r="AM65" s="9"/>
      <c r="AN65" s="12">
        <f t="shared" si="1"/>
        <v>1577009</v>
      </c>
      <c r="AO65" s="99">
        <f t="shared" si="2"/>
        <v>84664038</v>
      </c>
      <c r="AP65" s="99"/>
      <c r="AQ65" s="55">
        <v>10455282230520</v>
      </c>
      <c r="AR65" s="55">
        <v>24972218800</v>
      </c>
      <c r="AS65" s="55">
        <v>4674869400</v>
      </c>
      <c r="AT65" s="55">
        <v>0</v>
      </c>
      <c r="AU65" s="12">
        <v>1577009</v>
      </c>
      <c r="AV65" s="99">
        <v>84664038</v>
      </c>
    </row>
    <row r="66" spans="1:48">
      <c r="A66" s="5">
        <v>43775</v>
      </c>
      <c r="B66" s="6"/>
      <c r="C66" s="6">
        <v>22764000000</v>
      </c>
      <c r="D66" s="6"/>
      <c r="E66" s="6"/>
      <c r="F66" s="7">
        <f t="shared" si="3"/>
        <v>22764000000</v>
      </c>
      <c r="G66" s="7">
        <f t="shared" si="4"/>
        <v>6829200</v>
      </c>
      <c r="H66" s="8">
        <v>5544629500</v>
      </c>
      <c r="I66" s="8">
        <v>1570000000</v>
      </c>
      <c r="J66" s="8">
        <f t="shared" si="5"/>
        <v>7114629500</v>
      </c>
      <c r="K66" s="8"/>
      <c r="L66" s="8"/>
      <c r="M66" s="8"/>
      <c r="N66" s="8"/>
      <c r="O66" s="8">
        <f t="shared" si="8"/>
        <v>979356</v>
      </c>
      <c r="P66" s="9">
        <v>359315</v>
      </c>
      <c r="Q66" s="11">
        <v>43775</v>
      </c>
      <c r="R66" s="11">
        <v>76</v>
      </c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>
        <v>201000</v>
      </c>
      <c r="AK66" s="11">
        <f t="shared" si="7"/>
        <v>228000</v>
      </c>
      <c r="AL66" s="11"/>
      <c r="AM66" s="9"/>
      <c r="AN66" s="12">
        <f t="shared" si="1"/>
        <v>8596871</v>
      </c>
      <c r="AO66" s="99">
        <f t="shared" si="2"/>
        <v>93260909</v>
      </c>
      <c r="AP66" s="99"/>
      <c r="AQ66" s="55">
        <v>10646073137100</v>
      </c>
      <c r="AR66" s="55">
        <v>71753386800</v>
      </c>
      <c r="AS66" s="55">
        <v>7428900500</v>
      </c>
      <c r="AT66" s="55">
        <v>0</v>
      </c>
      <c r="AU66" s="12">
        <v>8596871</v>
      </c>
      <c r="AV66" s="99">
        <v>93260909</v>
      </c>
    </row>
    <row r="67" spans="1:48">
      <c r="A67" s="5">
        <v>43776</v>
      </c>
      <c r="B67" s="6"/>
      <c r="C67" s="6"/>
      <c r="D67" s="6"/>
      <c r="E67" s="6"/>
      <c r="F67" s="7">
        <f t="shared" si="3"/>
        <v>0</v>
      </c>
      <c r="G67" s="7">
        <f t="shared" si="4"/>
        <v>0</v>
      </c>
      <c r="H67" s="8">
        <v>783375200</v>
      </c>
      <c r="I67" s="8">
        <v>1570100000</v>
      </c>
      <c r="J67" s="8">
        <f t="shared" si="5"/>
        <v>2353475200</v>
      </c>
      <c r="K67" s="8"/>
      <c r="L67" s="8"/>
      <c r="M67" s="8"/>
      <c r="N67" s="8"/>
      <c r="O67" s="8">
        <f t="shared" si="8"/>
        <v>408025</v>
      </c>
      <c r="P67" s="9">
        <v>25005</v>
      </c>
      <c r="Q67" s="11">
        <v>43776</v>
      </c>
      <c r="R67" s="11">
        <v>94</v>
      </c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>
        <f>145*3000</f>
        <v>435000</v>
      </c>
      <c r="AK67" s="11">
        <f t="shared" si="7"/>
        <v>282000</v>
      </c>
      <c r="AL67" s="11"/>
      <c r="AM67" s="9"/>
      <c r="AN67" s="12">
        <f t="shared" si="1"/>
        <v>1150030</v>
      </c>
      <c r="AO67" s="99">
        <f t="shared" si="2"/>
        <v>94410939</v>
      </c>
      <c r="AP67" s="99"/>
      <c r="AQ67" s="55">
        <v>9929829676680</v>
      </c>
      <c r="AR67" s="55">
        <v>18591336000</v>
      </c>
      <c r="AS67" s="55">
        <v>2544508800</v>
      </c>
      <c r="AT67" s="55">
        <v>0</v>
      </c>
      <c r="AU67" s="12">
        <v>1150030</v>
      </c>
      <c r="AV67" s="99">
        <v>94410939</v>
      </c>
    </row>
    <row r="68" spans="1:48">
      <c r="A68" s="5">
        <v>43777</v>
      </c>
      <c r="B68" s="6"/>
      <c r="C68" s="6"/>
      <c r="D68" s="6"/>
      <c r="E68" s="6"/>
      <c r="F68" s="7">
        <f t="shared" si="3"/>
        <v>0</v>
      </c>
      <c r="G68" s="7">
        <f t="shared" si="4"/>
        <v>0</v>
      </c>
      <c r="H68" s="8">
        <v>5658746300</v>
      </c>
      <c r="I68" s="8"/>
      <c r="J68" s="8">
        <f t="shared" si="5"/>
        <v>5658746300</v>
      </c>
      <c r="K68" s="8"/>
      <c r="L68" s="8"/>
      <c r="M68" s="8"/>
      <c r="N68" s="8"/>
      <c r="O68" s="8">
        <f t="shared" si="8"/>
        <v>679050</v>
      </c>
      <c r="P68" s="9">
        <v>15000</v>
      </c>
      <c r="Q68" s="11">
        <v>43777</v>
      </c>
      <c r="R68" s="11">
        <v>60</v>
      </c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>
        <v>1755000</v>
      </c>
      <c r="AK68" s="11">
        <f t="shared" si="7"/>
        <v>180000</v>
      </c>
      <c r="AL68" s="11"/>
      <c r="AM68" s="9"/>
      <c r="AN68" s="12">
        <f t="shared" si="1"/>
        <v>2629050</v>
      </c>
      <c r="AO68" s="99">
        <f t="shared" si="2"/>
        <v>97039989</v>
      </c>
      <c r="AP68" s="99"/>
      <c r="AQ68" s="55">
        <v>9511453080762</v>
      </c>
      <c r="AR68" s="55">
        <v>33234894200</v>
      </c>
      <c r="AS68" s="55">
        <v>12450999600</v>
      </c>
      <c r="AT68" s="55">
        <v>0</v>
      </c>
      <c r="AU68" s="12">
        <v>2629050</v>
      </c>
      <c r="AV68" s="99">
        <v>97039989</v>
      </c>
    </row>
    <row r="69" spans="1:48">
      <c r="A69" s="5">
        <v>43780</v>
      </c>
      <c r="B69" s="6"/>
      <c r="C69" s="6"/>
      <c r="D69" s="6"/>
      <c r="E69" s="6"/>
      <c r="F69" s="7">
        <f t="shared" si="3"/>
        <v>0</v>
      </c>
      <c r="G69" s="7">
        <f t="shared" si="4"/>
        <v>0</v>
      </c>
      <c r="H69" s="8">
        <v>5828442600</v>
      </c>
      <c r="I69" s="8">
        <v>4717500000</v>
      </c>
      <c r="J69" s="8">
        <f t="shared" si="5"/>
        <v>10545942600</v>
      </c>
      <c r="K69" s="8"/>
      <c r="L69" s="8"/>
      <c r="M69" s="8"/>
      <c r="N69" s="8"/>
      <c r="O69" s="8">
        <f t="shared" si="8"/>
        <v>1642913</v>
      </c>
      <c r="P69" s="9">
        <v>82325</v>
      </c>
      <c r="Q69" s="11">
        <v>43780</v>
      </c>
      <c r="R69" s="11">
        <v>93</v>
      </c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>
        <f>(203+5)*3000</f>
        <v>624000</v>
      </c>
      <c r="AK69" s="11">
        <f t="shared" ref="AK69:AK100" si="9">R69*3000</f>
        <v>279000</v>
      </c>
      <c r="AL69" s="11"/>
      <c r="AM69" s="9"/>
      <c r="AN69" s="12">
        <f t="shared" ref="AN69:AN132" si="10">AM69+AL69+AK69+AJ69+P69+O69+G69</f>
        <v>2628238</v>
      </c>
      <c r="AO69" s="99">
        <f t="shared" si="2"/>
        <v>99668227</v>
      </c>
      <c r="AP69" s="99"/>
      <c r="AQ69" s="55">
        <v>10286248159330</v>
      </c>
      <c r="AR69" s="55">
        <v>59816136600</v>
      </c>
      <c r="AS69" s="55">
        <v>13674128100</v>
      </c>
      <c r="AT69" s="55">
        <v>0</v>
      </c>
      <c r="AU69" s="12">
        <v>2628238</v>
      </c>
      <c r="AV69" s="99">
        <v>99668227</v>
      </c>
    </row>
    <row r="70" spans="1:48">
      <c r="A70" s="5">
        <v>43781</v>
      </c>
      <c r="B70" s="6"/>
      <c r="C70" s="6"/>
      <c r="D70" s="6"/>
      <c r="E70" s="6"/>
      <c r="F70" s="7">
        <f t="shared" si="3"/>
        <v>0</v>
      </c>
      <c r="G70" s="7">
        <f t="shared" si="4"/>
        <v>0</v>
      </c>
      <c r="H70" s="8">
        <v>6342474500</v>
      </c>
      <c r="I70" s="8"/>
      <c r="J70" s="8">
        <f t="shared" si="5"/>
        <v>6342474500</v>
      </c>
      <c r="K70" s="8"/>
      <c r="L70" s="8"/>
      <c r="M70" s="8"/>
      <c r="N70" s="8"/>
      <c r="O70" s="8">
        <f t="shared" si="8"/>
        <v>761097</v>
      </c>
      <c r="P70" s="9">
        <v>15195</v>
      </c>
      <c r="Q70" s="11">
        <v>43781</v>
      </c>
      <c r="R70" s="11">
        <v>222</v>
      </c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>
        <f>(273+25)*3000</f>
        <v>894000</v>
      </c>
      <c r="AK70" s="11">
        <f t="shared" si="9"/>
        <v>666000</v>
      </c>
      <c r="AL70" s="11"/>
      <c r="AM70" s="9"/>
      <c r="AN70" s="12">
        <f t="shared" si="10"/>
        <v>2336292</v>
      </c>
      <c r="AO70" s="99">
        <f t="shared" ref="AO70:AO133" si="11">AO69+AN70</f>
        <v>102004519</v>
      </c>
      <c r="AP70" s="99"/>
      <c r="AQ70" s="55">
        <v>10465109935542</v>
      </c>
      <c r="AR70" s="55">
        <v>50344964200</v>
      </c>
      <c r="AS70" s="55">
        <v>9466474500</v>
      </c>
      <c r="AT70" s="55">
        <v>0</v>
      </c>
      <c r="AU70" s="12">
        <v>2336292</v>
      </c>
      <c r="AV70" s="99">
        <v>102004519</v>
      </c>
    </row>
    <row r="71" spans="1:48">
      <c r="A71" s="5">
        <v>43782</v>
      </c>
      <c r="B71" s="6"/>
      <c r="C71" s="6"/>
      <c r="D71" s="6"/>
      <c r="E71" s="6"/>
      <c r="F71" s="7">
        <f t="shared" si="3"/>
        <v>0</v>
      </c>
      <c r="G71" s="7">
        <f t="shared" si="4"/>
        <v>0</v>
      </c>
      <c r="H71" s="8">
        <v>4949222500</v>
      </c>
      <c r="I71" s="8"/>
      <c r="J71" s="8">
        <f t="shared" si="5"/>
        <v>4949222500</v>
      </c>
      <c r="K71" s="8"/>
      <c r="L71" s="8"/>
      <c r="M71" s="8"/>
      <c r="N71" s="8"/>
      <c r="O71" s="8">
        <f t="shared" si="8"/>
        <v>593907</v>
      </c>
      <c r="P71" s="9">
        <v>5590</v>
      </c>
      <c r="Q71" s="11">
        <v>43782</v>
      </c>
      <c r="R71" s="11">
        <v>192</v>
      </c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>
        <f>(247+63)*3000</f>
        <v>930000</v>
      </c>
      <c r="AK71" s="11">
        <f t="shared" si="9"/>
        <v>576000</v>
      </c>
      <c r="AL71" s="11"/>
      <c r="AM71" s="9"/>
      <c r="AN71" s="12">
        <f t="shared" si="10"/>
        <v>2105497</v>
      </c>
      <c r="AO71" s="99">
        <f t="shared" si="11"/>
        <v>104110016</v>
      </c>
      <c r="AP71" s="99"/>
      <c r="AQ71" s="55">
        <v>14615370052400</v>
      </c>
      <c r="AR71" s="55">
        <v>51653708200</v>
      </c>
      <c r="AS71" s="55">
        <v>5313138500</v>
      </c>
      <c r="AT71" s="55">
        <v>0</v>
      </c>
      <c r="AU71" s="12">
        <v>2105497</v>
      </c>
      <c r="AV71" s="99">
        <v>104110016</v>
      </c>
    </row>
    <row r="72" spans="1:48">
      <c r="A72" s="5">
        <v>43783</v>
      </c>
      <c r="B72" s="6"/>
      <c r="C72" s="6"/>
      <c r="D72" s="6"/>
      <c r="E72" s="6"/>
      <c r="F72" s="7">
        <f t="shared" si="3"/>
        <v>0</v>
      </c>
      <c r="G72" s="7">
        <f t="shared" si="4"/>
        <v>0</v>
      </c>
      <c r="H72" s="8">
        <v>8299508200</v>
      </c>
      <c r="I72" s="8"/>
      <c r="J72" s="8">
        <f t="shared" si="5"/>
        <v>8299508200</v>
      </c>
      <c r="K72" s="8"/>
      <c r="L72" s="8"/>
      <c r="M72" s="8"/>
      <c r="N72" s="8"/>
      <c r="O72" s="8">
        <f t="shared" si="8"/>
        <v>995941</v>
      </c>
      <c r="P72" s="9">
        <v>2500</v>
      </c>
      <c r="Q72" s="11">
        <v>43783</v>
      </c>
      <c r="R72" s="11">
        <v>135</v>
      </c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>
        <f>393*3000</f>
        <v>1179000</v>
      </c>
      <c r="AK72" s="11">
        <f t="shared" si="9"/>
        <v>405000</v>
      </c>
      <c r="AL72" s="11"/>
      <c r="AM72" s="9"/>
      <c r="AN72" s="12">
        <f t="shared" si="10"/>
        <v>2582441</v>
      </c>
      <c r="AO72" s="99">
        <f t="shared" si="11"/>
        <v>106692457</v>
      </c>
      <c r="AP72" s="99"/>
      <c r="AQ72" s="55">
        <v>10145567009428</v>
      </c>
      <c r="AR72" s="55">
        <v>43237880400</v>
      </c>
      <c r="AS72" s="55">
        <v>8299508200</v>
      </c>
      <c r="AT72" s="55">
        <v>0</v>
      </c>
      <c r="AU72" s="12">
        <v>2582441</v>
      </c>
      <c r="AV72" s="99">
        <v>106692457</v>
      </c>
    </row>
    <row r="73" spans="1:48">
      <c r="A73" s="5">
        <v>43784</v>
      </c>
      <c r="B73" s="6"/>
      <c r="C73" s="6"/>
      <c r="D73" s="6"/>
      <c r="E73" s="6"/>
      <c r="F73" s="7">
        <f t="shared" si="3"/>
        <v>0</v>
      </c>
      <c r="G73" s="7">
        <f t="shared" si="4"/>
        <v>0</v>
      </c>
      <c r="H73" s="8"/>
      <c r="I73" s="8">
        <v>15430000000</v>
      </c>
      <c r="J73" s="8">
        <f t="shared" si="5"/>
        <v>15430000000</v>
      </c>
      <c r="K73" s="8"/>
      <c r="L73" s="8"/>
      <c r="M73" s="8"/>
      <c r="N73" s="8"/>
      <c r="O73" s="8">
        <f t="shared" si="8"/>
        <v>3086000</v>
      </c>
      <c r="P73" s="9">
        <v>0</v>
      </c>
      <c r="Q73" s="11">
        <v>43784</v>
      </c>
      <c r="R73" s="11">
        <v>170</v>
      </c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>
        <v>5031000</v>
      </c>
      <c r="AK73" s="11">
        <f t="shared" si="9"/>
        <v>510000</v>
      </c>
      <c r="AL73" s="11"/>
      <c r="AM73" s="9"/>
      <c r="AN73" s="12">
        <f t="shared" si="10"/>
        <v>8627000</v>
      </c>
      <c r="AO73" s="99">
        <f t="shared" si="11"/>
        <v>115319457</v>
      </c>
      <c r="AP73" s="99"/>
      <c r="AQ73" s="55">
        <v>11485244198368</v>
      </c>
      <c r="AR73" s="55">
        <v>50570299000</v>
      </c>
      <c r="AS73" s="55">
        <v>35496000000</v>
      </c>
      <c r="AT73" s="55">
        <v>0</v>
      </c>
      <c r="AU73" s="12">
        <v>8627000</v>
      </c>
      <c r="AV73" s="99">
        <v>115319457</v>
      </c>
    </row>
    <row r="74" spans="1:48">
      <c r="A74" s="5">
        <v>43787</v>
      </c>
      <c r="B74" s="6"/>
      <c r="C74" s="6"/>
      <c r="D74" s="6"/>
      <c r="E74" s="6"/>
      <c r="F74" s="7">
        <f t="shared" si="3"/>
        <v>0</v>
      </c>
      <c r="G74" s="7">
        <f t="shared" si="4"/>
        <v>0</v>
      </c>
      <c r="H74" s="8">
        <v>0</v>
      </c>
      <c r="I74" s="8">
        <v>0</v>
      </c>
      <c r="J74" s="8">
        <f t="shared" si="5"/>
        <v>0</v>
      </c>
      <c r="K74" s="8"/>
      <c r="L74" s="8"/>
      <c r="M74" s="8"/>
      <c r="N74" s="8"/>
      <c r="O74" s="8">
        <f t="shared" si="8"/>
        <v>0</v>
      </c>
      <c r="P74" s="9">
        <v>0</v>
      </c>
      <c r="Q74" s="11">
        <v>43787</v>
      </c>
      <c r="R74" s="11">
        <v>4</v>
      </c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>
        <v>1677000</v>
      </c>
      <c r="AK74" s="11">
        <f t="shared" si="9"/>
        <v>12000</v>
      </c>
      <c r="AL74" s="11"/>
      <c r="AM74" s="9"/>
      <c r="AN74" s="12">
        <f t="shared" si="10"/>
        <v>1689000</v>
      </c>
      <c r="AO74" s="99">
        <f t="shared" si="11"/>
        <v>117008457</v>
      </c>
      <c r="AP74" s="99"/>
      <c r="AQ74" s="55">
        <v>9596324321550</v>
      </c>
      <c r="AR74" s="55">
        <v>10066674600</v>
      </c>
      <c r="AS74" s="55">
        <v>0</v>
      </c>
      <c r="AT74" s="55">
        <v>0</v>
      </c>
      <c r="AU74" s="12">
        <v>1689000</v>
      </c>
      <c r="AV74" s="99">
        <v>117008457</v>
      </c>
    </row>
    <row r="75" spans="1:48">
      <c r="A75" s="5">
        <v>43788</v>
      </c>
      <c r="B75" s="6"/>
      <c r="C75" s="6"/>
      <c r="D75" s="6"/>
      <c r="E75" s="6"/>
      <c r="F75" s="7">
        <f t="shared" ref="F75:F138" si="12">B75+C75</f>
        <v>0</v>
      </c>
      <c r="G75" s="7">
        <f t="shared" ref="G75:G138" si="13">ROUND(F75*0.03%,0)</f>
        <v>0</v>
      </c>
      <c r="H75" s="8">
        <v>4538920300</v>
      </c>
      <c r="I75" s="8">
        <v>10743500000</v>
      </c>
      <c r="J75" s="8">
        <f t="shared" ref="J75:J138" si="14">H75+I75</f>
        <v>15282420300</v>
      </c>
      <c r="K75" s="8"/>
      <c r="L75" s="8"/>
      <c r="M75" s="8"/>
      <c r="N75" s="8"/>
      <c r="O75" s="8">
        <f t="shared" si="8"/>
        <v>2693370</v>
      </c>
      <c r="P75" s="9">
        <v>250000</v>
      </c>
      <c r="Q75" s="11">
        <v>43788</v>
      </c>
      <c r="R75" s="11">
        <v>72</v>
      </c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>
        <v>1677000</v>
      </c>
      <c r="AK75" s="11">
        <f t="shared" si="9"/>
        <v>216000</v>
      </c>
      <c r="AL75" s="11"/>
      <c r="AM75" s="9"/>
      <c r="AN75" s="12">
        <f t="shared" si="10"/>
        <v>4836370</v>
      </c>
      <c r="AO75" s="99">
        <f t="shared" si="11"/>
        <v>121844827</v>
      </c>
      <c r="AP75" s="99"/>
      <c r="AQ75" s="55">
        <v>10383787028000</v>
      </c>
      <c r="AR75" s="55">
        <v>31095747200</v>
      </c>
      <c r="AS75" s="55">
        <v>15436420300</v>
      </c>
      <c r="AT75" s="55">
        <v>0</v>
      </c>
      <c r="AU75" s="12">
        <v>4836370</v>
      </c>
      <c r="AV75" s="99">
        <v>121844827</v>
      </c>
    </row>
    <row r="76" spans="1:48">
      <c r="A76" s="5">
        <v>43789</v>
      </c>
      <c r="B76" s="6"/>
      <c r="C76" s="6"/>
      <c r="D76" s="6"/>
      <c r="E76" s="6"/>
      <c r="F76" s="7">
        <f t="shared" si="12"/>
        <v>0</v>
      </c>
      <c r="G76" s="7">
        <f t="shared" si="13"/>
        <v>0</v>
      </c>
      <c r="H76" s="8">
        <v>773280300</v>
      </c>
      <c r="I76" s="8"/>
      <c r="J76" s="8">
        <f t="shared" si="14"/>
        <v>773280300</v>
      </c>
      <c r="K76" s="8"/>
      <c r="L76" s="8"/>
      <c r="M76" s="8"/>
      <c r="N76" s="8"/>
      <c r="O76" s="8">
        <f t="shared" si="8"/>
        <v>92794</v>
      </c>
      <c r="P76" s="9">
        <v>15</v>
      </c>
      <c r="Q76" s="11">
        <v>43789</v>
      </c>
      <c r="R76" s="11">
        <v>26</v>
      </c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>
        <v>1701000</v>
      </c>
      <c r="AK76" s="11">
        <f t="shared" si="9"/>
        <v>78000</v>
      </c>
      <c r="AL76" s="11"/>
      <c r="AM76" s="9"/>
      <c r="AN76" s="12">
        <f t="shared" si="10"/>
        <v>1871809</v>
      </c>
      <c r="AO76" s="99">
        <f t="shared" si="11"/>
        <v>123716636</v>
      </c>
      <c r="AP76" s="99"/>
      <c r="AQ76" s="55">
        <v>9857870749400</v>
      </c>
      <c r="AR76" s="55">
        <v>23537727600</v>
      </c>
      <c r="AS76" s="55">
        <v>5371182800</v>
      </c>
      <c r="AT76" s="55">
        <v>0</v>
      </c>
      <c r="AU76" s="12">
        <v>1871809</v>
      </c>
      <c r="AV76" s="99">
        <v>123716636</v>
      </c>
    </row>
    <row r="77" spans="1:48">
      <c r="A77" s="5">
        <v>43790</v>
      </c>
      <c r="B77" s="6">
        <v>7169802500</v>
      </c>
      <c r="C77" s="6">
        <v>14615567500</v>
      </c>
      <c r="D77" s="6"/>
      <c r="E77" s="6"/>
      <c r="F77" s="7">
        <f t="shared" si="12"/>
        <v>21785370000</v>
      </c>
      <c r="G77" s="7">
        <f t="shared" si="13"/>
        <v>6535611</v>
      </c>
      <c r="H77" s="8">
        <v>10866446500</v>
      </c>
      <c r="I77" s="8"/>
      <c r="J77" s="8">
        <f t="shared" si="14"/>
        <v>10866446500</v>
      </c>
      <c r="K77" s="8"/>
      <c r="L77" s="8"/>
      <c r="M77" s="8"/>
      <c r="N77" s="8"/>
      <c r="O77" s="8">
        <f t="shared" si="8"/>
        <v>1303974</v>
      </c>
      <c r="P77" s="9">
        <v>155280</v>
      </c>
      <c r="Q77" s="11">
        <v>43790</v>
      </c>
      <c r="R77" s="11">
        <v>119</v>
      </c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>
        <v>2058000</v>
      </c>
      <c r="AK77" s="11">
        <f t="shared" si="9"/>
        <v>357000</v>
      </c>
      <c r="AL77" s="11"/>
      <c r="AM77" s="9">
        <v>800000</v>
      </c>
      <c r="AN77" s="12">
        <f t="shared" si="10"/>
        <v>11209865</v>
      </c>
      <c r="AO77" s="99">
        <f t="shared" si="11"/>
        <v>134926501</v>
      </c>
      <c r="AP77" s="99"/>
      <c r="AQ77" s="55">
        <v>11694062643438</v>
      </c>
      <c r="AR77" s="55">
        <v>23080503200</v>
      </c>
      <c r="AS77" s="55">
        <v>16918024100</v>
      </c>
      <c r="AT77" s="55">
        <v>0</v>
      </c>
      <c r="AU77" s="12">
        <v>11209865</v>
      </c>
      <c r="AV77" s="99">
        <v>134926501</v>
      </c>
    </row>
    <row r="78" spans="1:48">
      <c r="A78" s="5">
        <v>43791</v>
      </c>
      <c r="B78" s="6"/>
      <c r="C78" s="6">
        <v>602280000</v>
      </c>
      <c r="D78" s="6"/>
      <c r="E78" s="6"/>
      <c r="F78" s="7">
        <f t="shared" si="12"/>
        <v>602280000</v>
      </c>
      <c r="G78" s="7">
        <f t="shared" si="13"/>
        <v>180684</v>
      </c>
      <c r="H78" s="8">
        <v>7197207500</v>
      </c>
      <c r="I78" s="8">
        <v>4507500000</v>
      </c>
      <c r="J78" s="8">
        <f t="shared" si="14"/>
        <v>11704707500</v>
      </c>
      <c r="K78" s="8"/>
      <c r="L78" s="8"/>
      <c r="M78" s="8"/>
      <c r="N78" s="8"/>
      <c r="O78" s="8">
        <f t="shared" si="8"/>
        <v>1765165</v>
      </c>
      <c r="P78" s="9">
        <v>296140</v>
      </c>
      <c r="Q78" s="11">
        <v>43791</v>
      </c>
      <c r="R78" s="11">
        <v>141</v>
      </c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>
        <v>3429000</v>
      </c>
      <c r="AK78" s="11">
        <f t="shared" si="9"/>
        <v>423000</v>
      </c>
      <c r="AL78" s="11"/>
      <c r="AM78" s="9"/>
      <c r="AN78" s="12">
        <f t="shared" si="10"/>
        <v>6093989</v>
      </c>
      <c r="AO78" s="99">
        <f t="shared" si="11"/>
        <v>141020490</v>
      </c>
      <c r="AP78" s="99"/>
      <c r="AQ78" s="55">
        <v>12413263620600</v>
      </c>
      <c r="AR78" s="55">
        <v>70051602000</v>
      </c>
      <c r="AS78" s="55">
        <v>26389813000</v>
      </c>
      <c r="AT78" s="55">
        <v>0</v>
      </c>
      <c r="AU78" s="12">
        <v>6093989</v>
      </c>
      <c r="AV78" s="99">
        <v>141020490</v>
      </c>
    </row>
    <row r="79" spans="1:48">
      <c r="A79" s="5">
        <v>43794</v>
      </c>
      <c r="B79" s="6"/>
      <c r="C79" s="6"/>
      <c r="D79" s="6"/>
      <c r="E79" s="6"/>
      <c r="F79" s="7">
        <f t="shared" si="12"/>
        <v>0</v>
      </c>
      <c r="G79" s="7">
        <f t="shared" si="13"/>
        <v>0</v>
      </c>
      <c r="H79" s="8">
        <v>2147229800</v>
      </c>
      <c r="I79" s="8"/>
      <c r="J79" s="8">
        <f t="shared" si="14"/>
        <v>2147229800</v>
      </c>
      <c r="K79" s="8"/>
      <c r="L79" s="8"/>
      <c r="M79" s="8"/>
      <c r="N79" s="8"/>
      <c r="O79" s="8">
        <f t="shared" si="8"/>
        <v>257668</v>
      </c>
      <c r="P79" s="9">
        <v>0</v>
      </c>
      <c r="Q79" s="11">
        <v>43794</v>
      </c>
      <c r="R79" s="11">
        <v>24</v>
      </c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>
        <v>1215000</v>
      </c>
      <c r="AK79" s="11">
        <f t="shared" si="9"/>
        <v>72000</v>
      </c>
      <c r="AL79" s="11"/>
      <c r="AM79" s="9"/>
      <c r="AN79" s="12">
        <f t="shared" si="10"/>
        <v>1544668</v>
      </c>
      <c r="AO79" s="99">
        <f t="shared" si="11"/>
        <v>142565158</v>
      </c>
      <c r="AP79" s="99"/>
      <c r="AQ79" s="55">
        <v>9313107518100</v>
      </c>
      <c r="AR79" s="55">
        <v>137442895000</v>
      </c>
      <c r="AS79" s="55">
        <v>9547615300</v>
      </c>
      <c r="AT79" s="55">
        <v>0</v>
      </c>
      <c r="AU79" s="12">
        <v>1544668</v>
      </c>
      <c r="AV79" s="99">
        <v>142565158</v>
      </c>
    </row>
    <row r="80" spans="1:48">
      <c r="A80" s="5">
        <v>43795</v>
      </c>
      <c r="B80" s="6"/>
      <c r="C80" s="6"/>
      <c r="D80" s="6"/>
      <c r="E80" s="6"/>
      <c r="F80" s="7">
        <f t="shared" si="12"/>
        <v>0</v>
      </c>
      <c r="G80" s="7">
        <f t="shared" si="13"/>
        <v>0</v>
      </c>
      <c r="H80" s="8">
        <v>3042027000</v>
      </c>
      <c r="I80" s="8">
        <v>7480000000</v>
      </c>
      <c r="J80" s="8">
        <f t="shared" si="14"/>
        <v>10522027000</v>
      </c>
      <c r="K80" s="8"/>
      <c r="L80" s="8"/>
      <c r="M80" s="8"/>
      <c r="N80" s="8"/>
      <c r="O80" s="8">
        <f t="shared" si="8"/>
        <v>1861043</v>
      </c>
      <c r="P80" s="9">
        <v>321670</v>
      </c>
      <c r="Q80" s="11">
        <v>43795</v>
      </c>
      <c r="R80" s="11">
        <v>117</v>
      </c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>
        <v>924000</v>
      </c>
      <c r="AK80" s="11">
        <f t="shared" si="9"/>
        <v>351000</v>
      </c>
      <c r="AL80" s="11"/>
      <c r="AM80" s="9"/>
      <c r="AN80" s="12">
        <f t="shared" si="10"/>
        <v>3457713</v>
      </c>
      <c r="AO80" s="99">
        <f t="shared" si="11"/>
        <v>146022871</v>
      </c>
      <c r="AP80" s="99"/>
      <c r="AQ80" s="55">
        <v>9813192686400</v>
      </c>
      <c r="AR80" s="55">
        <v>31112856600</v>
      </c>
      <c r="AS80" s="55">
        <v>20545762800</v>
      </c>
      <c r="AT80" s="55">
        <v>0</v>
      </c>
      <c r="AU80" s="12">
        <v>3457713</v>
      </c>
      <c r="AV80" s="99">
        <v>146022871</v>
      </c>
    </row>
    <row r="81" spans="1:48">
      <c r="A81" s="5">
        <v>43796</v>
      </c>
      <c r="B81" s="6"/>
      <c r="C81" s="6"/>
      <c r="D81" s="6"/>
      <c r="E81" s="6"/>
      <c r="F81" s="7">
        <f t="shared" si="12"/>
        <v>0</v>
      </c>
      <c r="G81" s="7">
        <f t="shared" si="13"/>
        <v>0</v>
      </c>
      <c r="H81" s="8">
        <v>10461654400</v>
      </c>
      <c r="I81" s="8">
        <v>2997200000</v>
      </c>
      <c r="J81" s="8">
        <f t="shared" si="14"/>
        <v>13458854400</v>
      </c>
      <c r="K81" s="8"/>
      <c r="L81" s="8"/>
      <c r="M81" s="8"/>
      <c r="N81" s="8"/>
      <c r="O81" s="8">
        <f t="shared" si="8"/>
        <v>1854839</v>
      </c>
      <c r="P81" s="9">
        <v>201500</v>
      </c>
      <c r="Q81" s="11">
        <v>43796</v>
      </c>
      <c r="R81" s="11">
        <v>148</v>
      </c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>
        <v>972000</v>
      </c>
      <c r="AK81" s="11">
        <f t="shared" si="9"/>
        <v>444000</v>
      </c>
      <c r="AL81" s="11"/>
      <c r="AM81" s="9"/>
      <c r="AN81" s="12">
        <f t="shared" si="10"/>
        <v>3472339</v>
      </c>
      <c r="AO81" s="99">
        <f t="shared" si="11"/>
        <v>149495210</v>
      </c>
      <c r="AP81" s="99"/>
      <c r="AQ81" s="55">
        <v>8175430201800</v>
      </c>
      <c r="AR81" s="55">
        <v>48128704000</v>
      </c>
      <c r="AS81" s="55">
        <v>20342749400</v>
      </c>
      <c r="AT81" s="55">
        <v>0</v>
      </c>
      <c r="AU81" s="12">
        <v>3472339</v>
      </c>
      <c r="AV81" s="99">
        <v>149495210</v>
      </c>
    </row>
    <row r="82" spans="1:48">
      <c r="A82" s="5">
        <v>43797</v>
      </c>
      <c r="B82" s="6"/>
      <c r="C82" s="6"/>
      <c r="D82" s="6"/>
      <c r="E82" s="6"/>
      <c r="F82" s="7">
        <f t="shared" si="12"/>
        <v>0</v>
      </c>
      <c r="G82" s="7">
        <f t="shared" si="13"/>
        <v>0</v>
      </c>
      <c r="H82" s="8">
        <v>4276836100</v>
      </c>
      <c r="I82" s="8"/>
      <c r="J82" s="8">
        <f t="shared" si="14"/>
        <v>4276836100</v>
      </c>
      <c r="K82" s="8"/>
      <c r="L82" s="8"/>
      <c r="M82" s="8"/>
      <c r="N82" s="8"/>
      <c r="O82" s="8">
        <f t="shared" si="8"/>
        <v>513220</v>
      </c>
      <c r="P82" s="9">
        <v>740</v>
      </c>
      <c r="Q82" s="11">
        <v>43797</v>
      </c>
      <c r="R82" s="11">
        <v>58</v>
      </c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>
        <v>1116000</v>
      </c>
      <c r="AK82" s="11">
        <f t="shared" si="9"/>
        <v>174000</v>
      </c>
      <c r="AL82" s="11"/>
      <c r="AM82" s="9"/>
      <c r="AN82" s="12">
        <f t="shared" si="10"/>
        <v>1803960</v>
      </c>
      <c r="AO82" s="99">
        <f t="shared" si="11"/>
        <v>151299170</v>
      </c>
      <c r="AP82" s="99"/>
      <c r="AQ82" s="55">
        <v>9480258734900</v>
      </c>
      <c r="AR82" s="55">
        <v>27387995600</v>
      </c>
      <c r="AS82" s="55">
        <v>10934836100</v>
      </c>
      <c r="AT82" s="55">
        <v>0</v>
      </c>
      <c r="AU82" s="12">
        <v>1803960</v>
      </c>
      <c r="AV82" s="99">
        <v>151299170</v>
      </c>
    </row>
    <row r="83" spans="1:48">
      <c r="A83" s="5">
        <v>43798</v>
      </c>
      <c r="B83" s="6"/>
      <c r="C83" s="6"/>
      <c r="D83" s="6"/>
      <c r="E83" s="6"/>
      <c r="F83" s="7">
        <f t="shared" si="12"/>
        <v>0</v>
      </c>
      <c r="G83" s="7">
        <f t="shared" si="13"/>
        <v>0</v>
      </c>
      <c r="H83" s="8">
        <v>4554106600</v>
      </c>
      <c r="I83" s="8">
        <v>1461537000</v>
      </c>
      <c r="J83" s="8">
        <f t="shared" si="14"/>
        <v>6015643600</v>
      </c>
      <c r="K83" s="8"/>
      <c r="L83" s="8"/>
      <c r="M83" s="8"/>
      <c r="N83" s="8"/>
      <c r="O83" s="8">
        <f t="shared" si="8"/>
        <v>838800</v>
      </c>
      <c r="P83" s="9">
        <v>500</v>
      </c>
      <c r="Q83" s="11">
        <v>43798</v>
      </c>
      <c r="R83" s="11">
        <v>75</v>
      </c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>
        <f>439*3000*3</f>
        <v>3951000</v>
      </c>
      <c r="AK83" s="11">
        <f t="shared" si="9"/>
        <v>225000</v>
      </c>
      <c r="AL83" s="11">
        <v>2000000</v>
      </c>
      <c r="AM83" s="9">
        <v>1732015</v>
      </c>
      <c r="AN83" s="12">
        <f t="shared" si="10"/>
        <v>8747315</v>
      </c>
      <c r="AO83" s="99">
        <f t="shared" si="11"/>
        <v>160046485</v>
      </c>
      <c r="AP83" s="99"/>
      <c r="AQ83" s="55">
        <v>8310196335716</v>
      </c>
      <c r="AR83" s="55">
        <v>12150851000</v>
      </c>
      <c r="AS83" s="55">
        <v>8976104200</v>
      </c>
      <c r="AT83" s="55">
        <v>0</v>
      </c>
      <c r="AU83" s="12">
        <v>8747315</v>
      </c>
      <c r="AV83" s="99">
        <v>160046485</v>
      </c>
    </row>
    <row r="84" spans="1:48">
      <c r="A84" s="5">
        <v>43801</v>
      </c>
      <c r="B84" s="6"/>
      <c r="C84" s="6"/>
      <c r="D84" s="6"/>
      <c r="E84" s="6"/>
      <c r="F84" s="7">
        <f t="shared" si="12"/>
        <v>0</v>
      </c>
      <c r="G84" s="7">
        <f t="shared" si="13"/>
        <v>0</v>
      </c>
      <c r="H84" s="8">
        <v>8290443800</v>
      </c>
      <c r="I84" s="8">
        <v>2912600000</v>
      </c>
      <c r="J84" s="8">
        <f t="shared" si="14"/>
        <v>11203043800</v>
      </c>
      <c r="K84" s="8"/>
      <c r="L84" s="8"/>
      <c r="M84" s="8"/>
      <c r="N84" s="8"/>
      <c r="O84" s="8">
        <f t="shared" si="8"/>
        <v>1577373</v>
      </c>
      <c r="P84" s="9">
        <v>381845</v>
      </c>
      <c r="Q84" s="11">
        <v>43801</v>
      </c>
      <c r="R84" s="11">
        <v>141</v>
      </c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>
        <f>308*3000</f>
        <v>924000</v>
      </c>
      <c r="AK84" s="11">
        <f t="shared" si="9"/>
        <v>423000</v>
      </c>
      <c r="AL84" s="11"/>
      <c r="AM84" s="9"/>
      <c r="AN84" s="12">
        <f t="shared" si="10"/>
        <v>3306218</v>
      </c>
      <c r="AO84" s="99">
        <f t="shared" si="11"/>
        <v>163352703</v>
      </c>
      <c r="AP84" s="99"/>
      <c r="AQ84" s="55">
        <v>10654412117200</v>
      </c>
      <c r="AR84" s="55">
        <v>25700107600</v>
      </c>
      <c r="AS84" s="55">
        <v>19291843800</v>
      </c>
      <c r="AT84" s="55">
        <v>0</v>
      </c>
      <c r="AU84" s="12">
        <v>3306218</v>
      </c>
      <c r="AV84" s="99">
        <v>163352703</v>
      </c>
    </row>
    <row r="85" spans="1:48">
      <c r="A85" s="5">
        <v>43802</v>
      </c>
      <c r="B85" s="6"/>
      <c r="C85" s="6"/>
      <c r="D85" s="6"/>
      <c r="E85" s="6"/>
      <c r="F85" s="7">
        <f t="shared" si="12"/>
        <v>0</v>
      </c>
      <c r="G85" s="7">
        <f t="shared" si="13"/>
        <v>0</v>
      </c>
      <c r="H85" s="8">
        <v>9432418800</v>
      </c>
      <c r="I85" s="8">
        <v>2891000000</v>
      </c>
      <c r="J85" s="8">
        <f t="shared" si="14"/>
        <v>12323418800</v>
      </c>
      <c r="K85" s="8"/>
      <c r="L85" s="8"/>
      <c r="M85" s="8"/>
      <c r="N85" s="8"/>
      <c r="O85" s="8">
        <f t="shared" si="8"/>
        <v>1710090</v>
      </c>
      <c r="P85" s="9">
        <v>121230</v>
      </c>
      <c r="Q85" s="11">
        <v>43802</v>
      </c>
      <c r="R85" s="11">
        <v>149</v>
      </c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>
        <f>369*3000</f>
        <v>1107000</v>
      </c>
      <c r="AK85" s="11">
        <f t="shared" si="9"/>
        <v>447000</v>
      </c>
      <c r="AL85" s="11"/>
      <c r="AM85" s="9"/>
      <c r="AN85" s="12">
        <f t="shared" si="10"/>
        <v>3385320</v>
      </c>
      <c r="AO85" s="99">
        <f t="shared" si="11"/>
        <v>166738023</v>
      </c>
      <c r="AP85" s="99"/>
      <c r="AQ85" s="55">
        <v>17439193834168</v>
      </c>
      <c r="AR85" s="55">
        <v>36832986000</v>
      </c>
      <c r="AS85" s="55">
        <v>16720608800</v>
      </c>
      <c r="AT85" s="55">
        <v>0</v>
      </c>
      <c r="AU85" s="12">
        <v>3385320</v>
      </c>
      <c r="AV85" s="99">
        <v>166738023</v>
      </c>
    </row>
    <row r="86" spans="1:48">
      <c r="A86" s="5">
        <v>43803</v>
      </c>
      <c r="B86" s="6"/>
      <c r="C86" s="6"/>
      <c r="D86" s="6"/>
      <c r="E86" s="6"/>
      <c r="F86" s="7">
        <f t="shared" si="12"/>
        <v>0</v>
      </c>
      <c r="G86" s="7">
        <f t="shared" si="13"/>
        <v>0</v>
      </c>
      <c r="H86" s="8">
        <v>3616014100</v>
      </c>
      <c r="I86" s="8"/>
      <c r="J86" s="8">
        <f t="shared" si="14"/>
        <v>3616014100</v>
      </c>
      <c r="K86" s="8"/>
      <c r="L86" s="8"/>
      <c r="M86" s="8"/>
      <c r="N86" s="8"/>
      <c r="O86" s="8">
        <f t="shared" si="8"/>
        <v>433922</v>
      </c>
      <c r="P86" s="9">
        <v>24595</v>
      </c>
      <c r="Q86" s="11">
        <v>43803</v>
      </c>
      <c r="R86" s="11">
        <f>22+48</f>
        <v>70</v>
      </c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>
        <f>395*3000</f>
        <v>1185000</v>
      </c>
      <c r="AK86" s="11">
        <f t="shared" si="9"/>
        <v>210000</v>
      </c>
      <c r="AL86" s="11"/>
      <c r="AM86" s="9"/>
      <c r="AN86" s="12">
        <f t="shared" si="10"/>
        <v>1853517</v>
      </c>
      <c r="AO86" s="99">
        <f t="shared" si="11"/>
        <v>168591540</v>
      </c>
      <c r="AP86" s="99"/>
      <c r="AQ86" s="55">
        <v>10646817098800</v>
      </c>
      <c r="AR86" s="55">
        <v>8015501000</v>
      </c>
      <c r="AS86" s="55">
        <v>3974775800</v>
      </c>
      <c r="AT86" s="55">
        <v>0</v>
      </c>
      <c r="AU86" s="12">
        <v>1853517</v>
      </c>
      <c r="AV86" s="99">
        <v>168591540</v>
      </c>
    </row>
    <row r="87" spans="1:48">
      <c r="A87" s="5">
        <v>43804</v>
      </c>
      <c r="B87" s="6"/>
      <c r="C87" s="6"/>
      <c r="D87" s="6"/>
      <c r="E87" s="6"/>
      <c r="F87" s="7">
        <f t="shared" si="12"/>
        <v>0</v>
      </c>
      <c r="G87" s="7">
        <f t="shared" si="13"/>
        <v>0</v>
      </c>
      <c r="H87" s="8">
        <v>1493923700</v>
      </c>
      <c r="I87" s="8"/>
      <c r="J87" s="8">
        <f t="shared" si="14"/>
        <v>1493923700</v>
      </c>
      <c r="K87" s="8"/>
      <c r="L87" s="8"/>
      <c r="M87" s="8"/>
      <c r="N87" s="8"/>
      <c r="O87" s="8">
        <f t="shared" si="8"/>
        <v>179271</v>
      </c>
      <c r="P87" s="9">
        <v>470</v>
      </c>
      <c r="Q87" s="11">
        <v>43804</v>
      </c>
      <c r="R87" s="11">
        <v>48</v>
      </c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>
        <f>395*3000</f>
        <v>1185000</v>
      </c>
      <c r="AK87" s="11">
        <f t="shared" si="9"/>
        <v>144000</v>
      </c>
      <c r="AL87" s="11"/>
      <c r="AM87" s="9"/>
      <c r="AN87" s="12">
        <f t="shared" si="10"/>
        <v>1508741</v>
      </c>
      <c r="AO87" s="99">
        <f t="shared" si="11"/>
        <v>170100281</v>
      </c>
      <c r="AP87" s="99"/>
      <c r="AQ87" s="55">
        <v>9329602521296</v>
      </c>
      <c r="AR87" s="55">
        <v>3794491400</v>
      </c>
      <c r="AS87" s="55">
        <v>1493923700</v>
      </c>
      <c r="AT87" s="55">
        <v>0</v>
      </c>
      <c r="AU87" s="12">
        <v>1508741</v>
      </c>
      <c r="AV87" s="99">
        <v>170100281</v>
      </c>
    </row>
    <row r="88" spans="1:48">
      <c r="A88" s="5">
        <v>43805</v>
      </c>
      <c r="B88" s="6"/>
      <c r="C88" s="6"/>
      <c r="D88" s="6"/>
      <c r="E88" s="6"/>
      <c r="F88" s="7">
        <f t="shared" si="12"/>
        <v>0</v>
      </c>
      <c r="G88" s="7">
        <f t="shared" si="13"/>
        <v>0</v>
      </c>
      <c r="H88" s="8">
        <v>3713075200</v>
      </c>
      <c r="I88" s="8">
        <v>0</v>
      </c>
      <c r="J88" s="8">
        <f t="shared" si="14"/>
        <v>3713075200</v>
      </c>
      <c r="K88" s="21"/>
      <c r="L88" s="21"/>
      <c r="M88" s="21"/>
      <c r="N88" s="21"/>
      <c r="O88" s="8">
        <f t="shared" si="8"/>
        <v>445569</v>
      </c>
      <c r="P88" s="9">
        <v>6205</v>
      </c>
      <c r="Q88" s="11">
        <v>43805</v>
      </c>
      <c r="R88" s="11">
        <v>42</v>
      </c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>
        <f>433*3000*3</f>
        <v>3897000</v>
      </c>
      <c r="AK88" s="11">
        <f t="shared" si="9"/>
        <v>126000</v>
      </c>
      <c r="AL88" s="11"/>
      <c r="AM88" s="22"/>
      <c r="AN88" s="12">
        <f t="shared" si="10"/>
        <v>4474774</v>
      </c>
      <c r="AO88" s="99">
        <f t="shared" si="11"/>
        <v>174575055</v>
      </c>
      <c r="AP88" s="99"/>
      <c r="AQ88" s="55">
        <v>8422005762300</v>
      </c>
      <c r="AR88" s="55">
        <v>7860104600</v>
      </c>
      <c r="AS88" s="55">
        <v>3720542700</v>
      </c>
      <c r="AT88" s="55">
        <v>0</v>
      </c>
      <c r="AU88" s="12">
        <v>4474774</v>
      </c>
      <c r="AV88" s="99">
        <v>174575055</v>
      </c>
    </row>
    <row r="89" spans="1:48">
      <c r="A89" s="5">
        <v>43808</v>
      </c>
      <c r="B89" s="6"/>
      <c r="C89" s="6"/>
      <c r="D89" s="6"/>
      <c r="E89" s="6"/>
      <c r="F89" s="7">
        <f t="shared" si="12"/>
        <v>0</v>
      </c>
      <c r="G89" s="7">
        <f t="shared" si="13"/>
        <v>0</v>
      </c>
      <c r="H89" s="8">
        <v>4405094900</v>
      </c>
      <c r="I89" s="8">
        <v>4374000000</v>
      </c>
      <c r="J89" s="8">
        <f t="shared" si="14"/>
        <v>8779094900</v>
      </c>
      <c r="K89" s="8">
        <v>6355000</v>
      </c>
      <c r="L89" s="8"/>
      <c r="M89" s="8"/>
      <c r="N89" s="8"/>
      <c r="O89" s="8">
        <f t="shared" si="8"/>
        <v>1404682</v>
      </c>
      <c r="P89" s="9">
        <v>150705</v>
      </c>
      <c r="Q89" s="11">
        <v>43808</v>
      </c>
      <c r="R89" s="11">
        <v>116</v>
      </c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>
        <f>413*3000</f>
        <v>1239000</v>
      </c>
      <c r="AK89" s="11">
        <f t="shared" si="9"/>
        <v>348000</v>
      </c>
      <c r="AL89" s="11"/>
      <c r="AM89" s="9"/>
      <c r="AN89" s="12">
        <f t="shared" si="10"/>
        <v>3142387</v>
      </c>
      <c r="AO89" s="99">
        <f t="shared" si="11"/>
        <v>177717442</v>
      </c>
      <c r="AP89" s="99"/>
      <c r="AQ89" s="55">
        <v>10611248055836</v>
      </c>
      <c r="AR89" s="55">
        <v>18036319800</v>
      </c>
      <c r="AS89" s="55">
        <v>8785449900</v>
      </c>
      <c r="AT89" s="55">
        <v>0</v>
      </c>
      <c r="AU89" s="12">
        <v>3142387</v>
      </c>
      <c r="AV89" s="99">
        <v>177717442</v>
      </c>
    </row>
    <row r="90" spans="1:48">
      <c r="A90" s="5">
        <v>43809</v>
      </c>
      <c r="B90" s="6"/>
      <c r="C90" s="6"/>
      <c r="D90" s="6"/>
      <c r="E90" s="6"/>
      <c r="F90" s="7">
        <f t="shared" si="12"/>
        <v>0</v>
      </c>
      <c r="G90" s="7">
        <f t="shared" si="13"/>
        <v>0</v>
      </c>
      <c r="H90" s="8">
        <v>133874500</v>
      </c>
      <c r="I90" s="8">
        <v>0</v>
      </c>
      <c r="J90" s="8">
        <f t="shared" si="14"/>
        <v>133874500</v>
      </c>
      <c r="K90" s="8"/>
      <c r="L90" s="8"/>
      <c r="M90" s="8"/>
      <c r="N90" s="8"/>
      <c r="O90" s="8">
        <f t="shared" si="8"/>
        <v>16065</v>
      </c>
      <c r="P90" s="9">
        <v>4600</v>
      </c>
      <c r="Q90" s="11">
        <v>43809</v>
      </c>
      <c r="R90" s="11">
        <v>111</v>
      </c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>
        <f>432*3000</f>
        <v>1296000</v>
      </c>
      <c r="AK90" s="11">
        <f t="shared" si="9"/>
        <v>333000</v>
      </c>
      <c r="AL90" s="11"/>
      <c r="AM90" s="9"/>
      <c r="AN90" s="12">
        <f t="shared" si="10"/>
        <v>1649665</v>
      </c>
      <c r="AO90" s="99">
        <f t="shared" si="11"/>
        <v>179367107</v>
      </c>
      <c r="AP90" s="99"/>
      <c r="AQ90" s="55">
        <v>11162664018142</v>
      </c>
      <c r="AR90" s="55">
        <v>13623739000</v>
      </c>
      <c r="AS90" s="55">
        <v>6697374500</v>
      </c>
      <c r="AT90" s="55">
        <v>0</v>
      </c>
      <c r="AU90" s="12">
        <v>1649665</v>
      </c>
      <c r="AV90" s="99">
        <v>179367107</v>
      </c>
    </row>
    <row r="91" spans="1:48">
      <c r="A91" s="5">
        <v>43810</v>
      </c>
      <c r="B91" s="6"/>
      <c r="C91" s="6"/>
      <c r="D91" s="6"/>
      <c r="E91" s="6"/>
      <c r="F91" s="7">
        <f t="shared" si="12"/>
        <v>0</v>
      </c>
      <c r="G91" s="7">
        <f t="shared" si="13"/>
        <v>0</v>
      </c>
      <c r="H91" s="8">
        <v>4650271600</v>
      </c>
      <c r="I91" s="8">
        <v>0</v>
      </c>
      <c r="J91" s="8">
        <f t="shared" si="14"/>
        <v>4650271600</v>
      </c>
      <c r="K91" s="8">
        <v>25273000</v>
      </c>
      <c r="L91" s="8"/>
      <c r="M91" s="8"/>
      <c r="N91" s="8"/>
      <c r="O91" s="8">
        <f t="shared" si="8"/>
        <v>563087</v>
      </c>
      <c r="P91" s="9">
        <v>102795</v>
      </c>
      <c r="Q91" s="11">
        <v>43810</v>
      </c>
      <c r="R91" s="11">
        <v>75</v>
      </c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>
        <f>417*3000</f>
        <v>1251000</v>
      </c>
      <c r="AK91" s="11">
        <f t="shared" si="9"/>
        <v>225000</v>
      </c>
      <c r="AL91" s="11"/>
      <c r="AM91" s="9"/>
      <c r="AN91" s="12">
        <f t="shared" si="10"/>
        <v>2141882</v>
      </c>
      <c r="AO91" s="99">
        <f t="shared" si="11"/>
        <v>181508989</v>
      </c>
      <c r="AP91" s="99"/>
      <c r="AQ91" s="55">
        <v>9710477074494</v>
      </c>
      <c r="AR91" s="55">
        <v>21594655200</v>
      </c>
      <c r="AS91" s="55">
        <v>7635584600</v>
      </c>
      <c r="AT91" s="55">
        <v>0</v>
      </c>
      <c r="AU91" s="12">
        <v>2141882</v>
      </c>
      <c r="AV91" s="99">
        <v>181508989</v>
      </c>
    </row>
    <row r="92" spans="1:48">
      <c r="A92" s="5">
        <v>43811</v>
      </c>
      <c r="B92" s="6"/>
      <c r="C92" s="6"/>
      <c r="D92" s="6"/>
      <c r="E92" s="6"/>
      <c r="F92" s="7">
        <f t="shared" si="12"/>
        <v>0</v>
      </c>
      <c r="G92" s="7">
        <f t="shared" si="13"/>
        <v>0</v>
      </c>
      <c r="H92" s="8">
        <v>312728900</v>
      </c>
      <c r="I92" s="8">
        <v>0</v>
      </c>
      <c r="J92" s="8">
        <f t="shared" si="14"/>
        <v>312728900</v>
      </c>
      <c r="K92" s="8">
        <v>62475000</v>
      </c>
      <c r="L92" s="8"/>
      <c r="M92" s="8"/>
      <c r="N92" s="8"/>
      <c r="O92" s="8">
        <f t="shared" si="8"/>
        <v>50022</v>
      </c>
      <c r="P92" s="9">
        <v>10640</v>
      </c>
      <c r="Q92" s="11">
        <v>43811</v>
      </c>
      <c r="R92" s="11">
        <v>5</v>
      </c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>
        <f>414*3000</f>
        <v>1242000</v>
      </c>
      <c r="AK92" s="11">
        <f t="shared" si="9"/>
        <v>15000</v>
      </c>
      <c r="AL92" s="11"/>
      <c r="AM92" s="9"/>
      <c r="AN92" s="12">
        <f t="shared" si="10"/>
        <v>1317662</v>
      </c>
      <c r="AO92" s="99">
        <f t="shared" si="11"/>
        <v>182826651</v>
      </c>
      <c r="AP92" s="99"/>
      <c r="AQ92" s="55">
        <v>9362350294200</v>
      </c>
      <c r="AR92" s="55">
        <v>754023000</v>
      </c>
      <c r="AS92" s="55">
        <v>448553900</v>
      </c>
      <c r="AT92" s="55">
        <v>0</v>
      </c>
      <c r="AU92" s="12">
        <v>1317662</v>
      </c>
      <c r="AV92" s="99">
        <v>182826651</v>
      </c>
    </row>
    <row r="93" spans="1:48">
      <c r="A93" s="5">
        <v>43812</v>
      </c>
      <c r="B93" s="6"/>
      <c r="C93" s="6">
        <v>3972778000</v>
      </c>
      <c r="D93" s="6"/>
      <c r="E93" s="6"/>
      <c r="F93" s="7">
        <f t="shared" si="12"/>
        <v>3972778000</v>
      </c>
      <c r="G93" s="7">
        <f t="shared" si="13"/>
        <v>1191833</v>
      </c>
      <c r="H93" s="8">
        <v>12842862700</v>
      </c>
      <c r="I93" s="8">
        <v>0</v>
      </c>
      <c r="J93" s="8">
        <f t="shared" si="14"/>
        <v>12842862700</v>
      </c>
      <c r="K93" s="8"/>
      <c r="L93" s="8"/>
      <c r="M93" s="8"/>
      <c r="N93" s="8"/>
      <c r="O93" s="8">
        <f t="shared" si="8"/>
        <v>1541144</v>
      </c>
      <c r="P93" s="9">
        <v>435580</v>
      </c>
      <c r="Q93" s="11">
        <v>43812</v>
      </c>
      <c r="R93" s="11">
        <v>251</v>
      </c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>
        <f>307*3000*3</f>
        <v>2763000</v>
      </c>
      <c r="AK93" s="11">
        <f t="shared" si="9"/>
        <v>753000</v>
      </c>
      <c r="AL93" s="11"/>
      <c r="AM93" s="9"/>
      <c r="AN93" s="12">
        <f t="shared" si="10"/>
        <v>6684557</v>
      </c>
      <c r="AO93" s="99">
        <f t="shared" si="11"/>
        <v>189511208</v>
      </c>
      <c r="AP93" s="99"/>
      <c r="AQ93" s="55">
        <v>9632681205600</v>
      </c>
      <c r="AR93" s="55">
        <v>139361281800</v>
      </c>
      <c r="AS93" s="55">
        <v>23377918700</v>
      </c>
      <c r="AT93" s="55">
        <v>0</v>
      </c>
      <c r="AU93" s="12">
        <v>6684557</v>
      </c>
      <c r="AV93" s="99">
        <v>189511208</v>
      </c>
    </row>
    <row r="94" spans="1:48">
      <c r="A94" s="5">
        <v>43815</v>
      </c>
      <c r="B94" s="6"/>
      <c r="C94" s="6">
        <v>1969272500</v>
      </c>
      <c r="D94" s="6"/>
      <c r="E94" s="6"/>
      <c r="F94" s="7">
        <f t="shared" si="12"/>
        <v>1969272500</v>
      </c>
      <c r="G94" s="7">
        <f t="shared" si="13"/>
        <v>590782</v>
      </c>
      <c r="H94" s="8">
        <v>8083400200</v>
      </c>
      <c r="I94" s="8">
        <v>0</v>
      </c>
      <c r="J94" s="8">
        <f t="shared" si="14"/>
        <v>8083400200</v>
      </c>
      <c r="K94" s="8"/>
      <c r="L94" s="8"/>
      <c r="M94" s="8"/>
      <c r="N94" s="8"/>
      <c r="O94" s="8">
        <f t="shared" si="8"/>
        <v>970008</v>
      </c>
      <c r="P94" s="9">
        <v>226110</v>
      </c>
      <c r="Q94" s="11">
        <v>43815</v>
      </c>
      <c r="R94" s="11">
        <f>79+41</f>
        <v>120</v>
      </c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>
        <f>(21+248)*3000</f>
        <v>807000</v>
      </c>
      <c r="AK94" s="11">
        <f t="shared" si="9"/>
        <v>360000</v>
      </c>
      <c r="AL94" s="11"/>
      <c r="AM94" s="9"/>
      <c r="AN94" s="12">
        <f t="shared" si="10"/>
        <v>2953900</v>
      </c>
      <c r="AO94" s="99">
        <f t="shared" si="11"/>
        <v>192465108</v>
      </c>
      <c r="AP94" s="99"/>
      <c r="AQ94" s="55">
        <v>12525172955000</v>
      </c>
      <c r="AR94" s="55">
        <v>48469783200</v>
      </c>
      <c r="AS94" s="55">
        <v>14492400200</v>
      </c>
      <c r="AT94" s="55">
        <v>0</v>
      </c>
      <c r="AU94" s="12">
        <v>2953900</v>
      </c>
      <c r="AV94" s="99">
        <v>192465108</v>
      </c>
    </row>
    <row r="95" spans="1:48">
      <c r="A95" s="5">
        <v>43816</v>
      </c>
      <c r="B95" s="6"/>
      <c r="C95" s="6">
        <v>2927304500</v>
      </c>
      <c r="D95" s="6"/>
      <c r="E95" s="6"/>
      <c r="F95" s="7">
        <f t="shared" si="12"/>
        <v>2927304500</v>
      </c>
      <c r="G95" s="7">
        <f t="shared" si="13"/>
        <v>878191</v>
      </c>
      <c r="H95" s="8">
        <v>10251050600</v>
      </c>
      <c r="I95" s="8">
        <v>0</v>
      </c>
      <c r="J95" s="8">
        <f t="shared" si="14"/>
        <v>10251050600</v>
      </c>
      <c r="K95" s="8"/>
      <c r="L95" s="8"/>
      <c r="M95" s="8"/>
      <c r="N95" s="8"/>
      <c r="O95" s="8">
        <f t="shared" si="8"/>
        <v>1230126</v>
      </c>
      <c r="P95" s="9">
        <v>252665</v>
      </c>
      <c r="Q95" s="11">
        <v>43816</v>
      </c>
      <c r="R95" s="11">
        <f>84+66</f>
        <v>150</v>
      </c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>
        <f>(19+270)*3000</f>
        <v>867000</v>
      </c>
      <c r="AK95" s="11">
        <f t="shared" si="9"/>
        <v>450000</v>
      </c>
      <c r="AL95" s="11"/>
      <c r="AM95" s="9"/>
      <c r="AN95" s="12">
        <f t="shared" si="10"/>
        <v>3677982</v>
      </c>
      <c r="AO95" s="99">
        <f t="shared" si="11"/>
        <v>196143090</v>
      </c>
      <c r="AP95" s="99"/>
      <c r="AQ95" s="55">
        <v>10042568266000</v>
      </c>
      <c r="AR95" s="55">
        <v>44729203600</v>
      </c>
      <c r="AS95" s="55">
        <v>26419550600</v>
      </c>
      <c r="AT95" s="55">
        <v>0</v>
      </c>
      <c r="AU95" s="12">
        <v>3677982</v>
      </c>
      <c r="AV95" s="99">
        <v>196143090</v>
      </c>
    </row>
    <row r="96" spans="1:48">
      <c r="A96" s="5">
        <v>43817</v>
      </c>
      <c r="B96" s="6"/>
      <c r="C96" s="6">
        <v>1958368200</v>
      </c>
      <c r="D96" s="6"/>
      <c r="E96" s="6"/>
      <c r="F96" s="7">
        <f t="shared" si="12"/>
        <v>1958368200</v>
      </c>
      <c r="G96" s="7">
        <f t="shared" si="13"/>
        <v>587510</v>
      </c>
      <c r="H96" s="8">
        <v>17367504200</v>
      </c>
      <c r="I96" s="8">
        <v>2877200000</v>
      </c>
      <c r="J96" s="8">
        <f t="shared" si="14"/>
        <v>20244704200</v>
      </c>
      <c r="K96" s="8"/>
      <c r="L96" s="8"/>
      <c r="M96" s="8"/>
      <c r="N96" s="8"/>
      <c r="O96" s="8">
        <f t="shared" si="8"/>
        <v>2659541</v>
      </c>
      <c r="P96" s="9">
        <v>402805</v>
      </c>
      <c r="Q96" s="11">
        <v>43817</v>
      </c>
      <c r="R96" s="11">
        <v>257</v>
      </c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>
        <f>238*3000</f>
        <v>714000</v>
      </c>
      <c r="AK96" s="11">
        <f t="shared" si="9"/>
        <v>771000</v>
      </c>
      <c r="AL96" s="11"/>
      <c r="AM96" s="9"/>
      <c r="AN96" s="12">
        <f t="shared" si="10"/>
        <v>5134856</v>
      </c>
      <c r="AO96" s="99">
        <f t="shared" si="11"/>
        <v>201277946</v>
      </c>
      <c r="AP96" s="99"/>
      <c r="AQ96" s="55">
        <v>14316593782000</v>
      </c>
      <c r="AR96" s="55">
        <v>68677915400</v>
      </c>
      <c r="AS96" s="55">
        <v>36661104200</v>
      </c>
      <c r="AT96" s="55">
        <v>0</v>
      </c>
      <c r="AU96" s="12">
        <v>5134856</v>
      </c>
      <c r="AV96" s="99">
        <v>201277946</v>
      </c>
    </row>
    <row r="97" spans="1:48">
      <c r="A97" s="5">
        <v>43818</v>
      </c>
      <c r="B97" s="6">
        <v>1843087000</v>
      </c>
      <c r="C97" s="6"/>
      <c r="D97" s="6"/>
      <c r="E97" s="6"/>
      <c r="F97" s="7">
        <f t="shared" si="12"/>
        <v>1843087000</v>
      </c>
      <c r="G97" s="7">
        <f t="shared" si="13"/>
        <v>552926</v>
      </c>
      <c r="H97" s="8">
        <v>9168622400</v>
      </c>
      <c r="I97" s="8">
        <v>0</v>
      </c>
      <c r="J97" s="8">
        <f t="shared" si="14"/>
        <v>9168622400</v>
      </c>
      <c r="K97" s="8"/>
      <c r="L97" s="8"/>
      <c r="M97" s="8"/>
      <c r="N97" s="8"/>
      <c r="O97" s="8">
        <f t="shared" si="8"/>
        <v>1100235</v>
      </c>
      <c r="P97" s="9">
        <v>69070</v>
      </c>
      <c r="Q97" s="11">
        <v>43818</v>
      </c>
      <c r="R97" s="11">
        <v>142</v>
      </c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>
        <v>1008000</v>
      </c>
      <c r="AK97" s="11">
        <f t="shared" si="9"/>
        <v>426000</v>
      </c>
      <c r="AL97" s="11"/>
      <c r="AM97" s="9">
        <v>800000</v>
      </c>
      <c r="AN97" s="12">
        <f t="shared" si="10"/>
        <v>3956231</v>
      </c>
      <c r="AO97" s="99">
        <f t="shared" si="11"/>
        <v>205234177</v>
      </c>
      <c r="AP97" s="99"/>
      <c r="AQ97" s="55">
        <v>9797920905720</v>
      </c>
      <c r="AR97" s="55">
        <v>72590665600</v>
      </c>
      <c r="AS97" s="55">
        <v>26627582400</v>
      </c>
      <c r="AT97" s="55">
        <v>0</v>
      </c>
      <c r="AU97" s="12">
        <v>3956231</v>
      </c>
      <c r="AV97" s="99">
        <v>205234177</v>
      </c>
    </row>
    <row r="98" spans="1:48">
      <c r="A98" s="5">
        <v>43819</v>
      </c>
      <c r="B98" s="6">
        <v>929337000</v>
      </c>
      <c r="C98" s="6"/>
      <c r="D98" s="6"/>
      <c r="E98" s="6"/>
      <c r="F98" s="7">
        <f t="shared" si="12"/>
        <v>929337000</v>
      </c>
      <c r="G98" s="7">
        <f t="shared" si="13"/>
        <v>278801</v>
      </c>
      <c r="H98" s="8">
        <v>4877025700</v>
      </c>
      <c r="I98" s="8">
        <v>0</v>
      </c>
      <c r="J98" s="8">
        <f t="shared" si="14"/>
        <v>4877025700</v>
      </c>
      <c r="K98" s="8"/>
      <c r="L98" s="8"/>
      <c r="M98" s="8"/>
      <c r="N98" s="8"/>
      <c r="O98" s="8">
        <f t="shared" si="8"/>
        <v>585243</v>
      </c>
      <c r="P98" s="9">
        <v>88995</v>
      </c>
      <c r="Q98" s="11">
        <v>43819</v>
      </c>
      <c r="R98" s="11">
        <f>8+17</f>
        <v>25</v>
      </c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>
        <f>343*3000*3</f>
        <v>3087000</v>
      </c>
      <c r="AK98" s="11">
        <f t="shared" si="9"/>
        <v>75000</v>
      </c>
      <c r="AL98" s="11"/>
      <c r="AM98" s="9">
        <v>800000</v>
      </c>
      <c r="AN98" s="12">
        <f t="shared" si="10"/>
        <v>4915039</v>
      </c>
      <c r="AO98" s="99">
        <f t="shared" si="11"/>
        <v>210149216</v>
      </c>
      <c r="AP98" s="99"/>
      <c r="AQ98" s="55">
        <v>11993229440600</v>
      </c>
      <c r="AR98" s="55">
        <v>50860000800</v>
      </c>
      <c r="AS98" s="55">
        <v>10973524900</v>
      </c>
      <c r="AT98" s="55">
        <v>0</v>
      </c>
      <c r="AU98" s="12">
        <v>4915039</v>
      </c>
      <c r="AV98" s="99">
        <v>210149216</v>
      </c>
    </row>
    <row r="99" spans="1:48">
      <c r="A99" s="5">
        <v>43822</v>
      </c>
      <c r="B99" s="6">
        <v>2349735500</v>
      </c>
      <c r="C99" s="6"/>
      <c r="D99" s="6"/>
      <c r="E99" s="6"/>
      <c r="F99" s="7">
        <f t="shared" si="12"/>
        <v>2349735500</v>
      </c>
      <c r="G99" s="7">
        <f t="shared" si="13"/>
        <v>704921</v>
      </c>
      <c r="H99" s="8">
        <v>11575889100</v>
      </c>
      <c r="I99" s="8">
        <v>5790800000</v>
      </c>
      <c r="J99" s="8">
        <f t="shared" si="14"/>
        <v>17366689100</v>
      </c>
      <c r="K99" s="8"/>
      <c r="L99" s="8"/>
      <c r="M99" s="8"/>
      <c r="N99" s="8"/>
      <c r="O99" s="8">
        <f t="shared" si="8"/>
        <v>2547267</v>
      </c>
      <c r="P99" s="9">
        <v>300000</v>
      </c>
      <c r="Q99" s="11">
        <v>43822</v>
      </c>
      <c r="R99" s="11">
        <v>94</v>
      </c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>
        <f>371*3000</f>
        <v>1113000</v>
      </c>
      <c r="AK99" s="11">
        <f t="shared" si="9"/>
        <v>282000</v>
      </c>
      <c r="AL99" s="11"/>
      <c r="AM99" s="9">
        <v>800000</v>
      </c>
      <c r="AN99" s="12">
        <f t="shared" si="10"/>
        <v>5747188</v>
      </c>
      <c r="AO99" s="99">
        <f t="shared" si="11"/>
        <v>215896404</v>
      </c>
      <c r="AP99" s="99"/>
      <c r="AQ99" s="55">
        <v>11161186540680</v>
      </c>
      <c r="AR99" s="55">
        <v>58477109600</v>
      </c>
      <c r="AS99" s="55">
        <v>20268886900</v>
      </c>
      <c r="AT99" s="55">
        <v>0</v>
      </c>
      <c r="AU99" s="12">
        <v>5747188</v>
      </c>
      <c r="AV99" s="99">
        <v>215896404</v>
      </c>
    </row>
    <row r="100" spans="1:48">
      <c r="A100" s="5">
        <v>43823</v>
      </c>
      <c r="B100" s="6"/>
      <c r="C100" s="6"/>
      <c r="D100" s="6"/>
      <c r="E100" s="6"/>
      <c r="F100" s="7">
        <f t="shared" si="12"/>
        <v>0</v>
      </c>
      <c r="G100" s="7">
        <f t="shared" si="13"/>
        <v>0</v>
      </c>
      <c r="H100" s="8">
        <v>17532059700</v>
      </c>
      <c r="I100" s="8">
        <v>0</v>
      </c>
      <c r="J100" s="8">
        <f t="shared" si="14"/>
        <v>17532059700</v>
      </c>
      <c r="K100" s="8"/>
      <c r="L100" s="8"/>
      <c r="M100" s="8"/>
      <c r="N100" s="8"/>
      <c r="O100" s="8">
        <f t="shared" si="8"/>
        <v>2103847</v>
      </c>
      <c r="P100" s="9">
        <v>306265</v>
      </c>
      <c r="Q100" s="11">
        <v>43823</v>
      </c>
      <c r="R100" s="11">
        <f>98+102</f>
        <v>200</v>
      </c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>
        <f>375*3000</f>
        <v>1125000</v>
      </c>
      <c r="AK100" s="11">
        <f t="shared" si="9"/>
        <v>600000</v>
      </c>
      <c r="AL100" s="11"/>
      <c r="AM100" s="9"/>
      <c r="AN100" s="12">
        <f t="shared" si="10"/>
        <v>4135112</v>
      </c>
      <c r="AO100" s="99">
        <f t="shared" si="11"/>
        <v>220031516</v>
      </c>
      <c r="AP100" s="99"/>
      <c r="AQ100" s="55">
        <v>9602162361200</v>
      </c>
      <c r="AR100" s="55">
        <v>140723951800</v>
      </c>
      <c r="AS100" s="55">
        <v>24746059700</v>
      </c>
      <c r="AT100" s="55">
        <v>0</v>
      </c>
      <c r="AU100" s="12">
        <v>4135112</v>
      </c>
      <c r="AV100" s="99">
        <v>220031516</v>
      </c>
    </row>
    <row r="101" spans="1:48">
      <c r="A101" s="5">
        <v>43824</v>
      </c>
      <c r="B101" s="6"/>
      <c r="C101" s="6"/>
      <c r="D101" s="6"/>
      <c r="E101" s="6"/>
      <c r="F101" s="7">
        <f t="shared" si="12"/>
        <v>0</v>
      </c>
      <c r="G101" s="7">
        <f t="shared" si="13"/>
        <v>0</v>
      </c>
      <c r="H101" s="8">
        <v>13930400</v>
      </c>
      <c r="I101" s="8">
        <v>0</v>
      </c>
      <c r="J101" s="8">
        <f t="shared" si="14"/>
        <v>13930400</v>
      </c>
      <c r="K101" s="8"/>
      <c r="L101" s="8"/>
      <c r="M101" s="8"/>
      <c r="N101" s="8"/>
      <c r="O101" s="8">
        <f t="shared" si="8"/>
        <v>1672</v>
      </c>
      <c r="P101" s="9">
        <v>15</v>
      </c>
      <c r="Q101" s="11">
        <v>43824</v>
      </c>
      <c r="R101" s="11">
        <v>0</v>
      </c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>
        <f>375*3000</f>
        <v>1125000</v>
      </c>
      <c r="AK101" s="11">
        <f t="shared" ref="AK101:AK132" si="15">R101*3000</f>
        <v>0</v>
      </c>
      <c r="AL101" s="11"/>
      <c r="AM101" s="9"/>
      <c r="AN101" s="12">
        <f t="shared" si="10"/>
        <v>1126687</v>
      </c>
      <c r="AO101" s="99">
        <f t="shared" si="11"/>
        <v>221158203</v>
      </c>
      <c r="AP101" s="99"/>
      <c r="AQ101" s="55">
        <v>9997197704600</v>
      </c>
      <c r="AR101" s="55">
        <v>876115000</v>
      </c>
      <c r="AS101" s="55">
        <v>45975400</v>
      </c>
      <c r="AT101" s="55">
        <v>0</v>
      </c>
      <c r="AU101" s="12">
        <v>1126687</v>
      </c>
      <c r="AV101" s="99">
        <v>221158203</v>
      </c>
    </row>
    <row r="102" spans="1:48">
      <c r="A102" s="5">
        <v>43825</v>
      </c>
      <c r="B102" s="6"/>
      <c r="C102" s="6"/>
      <c r="D102" s="6"/>
      <c r="E102" s="6"/>
      <c r="F102" s="7">
        <f t="shared" si="12"/>
        <v>0</v>
      </c>
      <c r="G102" s="7">
        <f t="shared" si="13"/>
        <v>0</v>
      </c>
      <c r="H102" s="8">
        <v>827467800</v>
      </c>
      <c r="I102" s="8">
        <v>0</v>
      </c>
      <c r="J102" s="8">
        <f t="shared" si="14"/>
        <v>827467800</v>
      </c>
      <c r="K102" s="8"/>
      <c r="L102" s="8"/>
      <c r="M102" s="8"/>
      <c r="N102" s="8"/>
      <c r="O102" s="8">
        <f t="shared" si="8"/>
        <v>99296</v>
      </c>
      <c r="P102" s="9">
        <v>27935</v>
      </c>
      <c r="Q102" s="11">
        <v>43825</v>
      </c>
      <c r="R102" s="11">
        <v>9</v>
      </c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>
        <f>366*3000</f>
        <v>1098000</v>
      </c>
      <c r="AK102" s="11">
        <f t="shared" si="15"/>
        <v>27000</v>
      </c>
      <c r="AL102" s="11"/>
      <c r="AM102" s="9"/>
      <c r="AN102" s="12">
        <f t="shared" si="10"/>
        <v>1252231</v>
      </c>
      <c r="AO102" s="99">
        <f t="shared" si="11"/>
        <v>222410434</v>
      </c>
      <c r="AP102" s="99"/>
      <c r="AQ102" s="55">
        <v>11369338220000</v>
      </c>
      <c r="AR102" s="55">
        <v>4883675800</v>
      </c>
      <c r="AS102" s="55">
        <v>908617300</v>
      </c>
      <c r="AT102" s="55">
        <v>0</v>
      </c>
      <c r="AU102" s="12">
        <v>1252231</v>
      </c>
      <c r="AV102" s="99">
        <v>222410434</v>
      </c>
    </row>
    <row r="103" spans="1:48">
      <c r="A103" s="5">
        <v>43826</v>
      </c>
      <c r="B103" s="6"/>
      <c r="C103" s="6"/>
      <c r="D103" s="6"/>
      <c r="E103" s="6"/>
      <c r="F103" s="7">
        <f t="shared" si="12"/>
        <v>0</v>
      </c>
      <c r="G103" s="7">
        <f t="shared" si="13"/>
        <v>0</v>
      </c>
      <c r="H103" s="8">
        <v>5084977400</v>
      </c>
      <c r="I103" s="8">
        <v>0</v>
      </c>
      <c r="J103" s="8">
        <f t="shared" si="14"/>
        <v>5084977400</v>
      </c>
      <c r="K103" s="8"/>
      <c r="L103" s="8"/>
      <c r="M103" s="8"/>
      <c r="N103" s="8"/>
      <c r="O103" s="8">
        <f t="shared" si="8"/>
        <v>610197</v>
      </c>
      <c r="P103" s="9">
        <v>157705</v>
      </c>
      <c r="Q103" s="11">
        <v>43826</v>
      </c>
      <c r="R103" s="11">
        <v>58</v>
      </c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>
        <f>320*3000*3</f>
        <v>2880000</v>
      </c>
      <c r="AK103" s="11">
        <f t="shared" si="15"/>
        <v>174000</v>
      </c>
      <c r="AL103" s="11"/>
      <c r="AM103" s="22"/>
      <c r="AN103" s="12">
        <f t="shared" si="10"/>
        <v>3821902</v>
      </c>
      <c r="AO103" s="99">
        <f t="shared" si="11"/>
        <v>226232336</v>
      </c>
      <c r="AP103" s="99"/>
      <c r="AQ103" s="55">
        <v>8151805335478</v>
      </c>
      <c r="AR103" s="55">
        <v>44173710200</v>
      </c>
      <c r="AS103" s="55">
        <v>17405939000</v>
      </c>
      <c r="AT103" s="55">
        <v>0</v>
      </c>
      <c r="AU103" s="12">
        <v>3821902</v>
      </c>
      <c r="AV103" s="99">
        <v>226232336</v>
      </c>
    </row>
    <row r="104" spans="1:48">
      <c r="A104" s="5">
        <v>43829</v>
      </c>
      <c r="B104" s="6"/>
      <c r="C104" s="6"/>
      <c r="D104" s="6"/>
      <c r="E104" s="6"/>
      <c r="F104" s="7">
        <f t="shared" si="12"/>
        <v>0</v>
      </c>
      <c r="G104" s="7">
        <f t="shared" si="13"/>
        <v>0</v>
      </c>
      <c r="H104" s="8">
        <v>5707140700</v>
      </c>
      <c r="I104" s="8">
        <v>0</v>
      </c>
      <c r="J104" s="8">
        <f t="shared" si="14"/>
        <v>5707140700</v>
      </c>
      <c r="K104" s="8"/>
      <c r="L104" s="8"/>
      <c r="M104" s="8"/>
      <c r="N104" s="8"/>
      <c r="O104" s="8">
        <f t="shared" ref="O104:O156" si="16">ROUND(H104*0.012%+I104*0.02%+K104*0.02%,0)</f>
        <v>684857</v>
      </c>
      <c r="P104" s="9">
        <v>184500</v>
      </c>
      <c r="Q104" s="11">
        <v>43829</v>
      </c>
      <c r="R104" s="11">
        <v>65</v>
      </c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>
        <f>263*3000</f>
        <v>789000</v>
      </c>
      <c r="AK104" s="11">
        <f t="shared" si="15"/>
        <v>195000</v>
      </c>
      <c r="AL104" s="11"/>
      <c r="AM104" s="9"/>
      <c r="AN104" s="12">
        <f t="shared" si="10"/>
        <v>1853357</v>
      </c>
      <c r="AO104" s="99">
        <f t="shared" si="11"/>
        <v>228085693</v>
      </c>
      <c r="AP104" s="99"/>
      <c r="AQ104" s="55">
        <v>7934669488116</v>
      </c>
      <c r="AR104" s="55">
        <v>20583779600</v>
      </c>
      <c r="AS104" s="55">
        <v>8633433900</v>
      </c>
      <c r="AT104" s="55">
        <v>0</v>
      </c>
      <c r="AU104" s="12">
        <v>1853357</v>
      </c>
      <c r="AV104" s="99">
        <v>228085693</v>
      </c>
    </row>
    <row r="105" spans="1:48">
      <c r="A105" s="5">
        <v>43830</v>
      </c>
      <c r="B105" s="6"/>
      <c r="C105" s="6"/>
      <c r="D105" s="6"/>
      <c r="E105" s="6"/>
      <c r="F105" s="7">
        <f t="shared" si="12"/>
        <v>0</v>
      </c>
      <c r="G105" s="7">
        <f t="shared" si="13"/>
        <v>0</v>
      </c>
      <c r="H105" s="8">
        <v>3303525300</v>
      </c>
      <c r="I105" s="8">
        <v>0</v>
      </c>
      <c r="J105" s="8">
        <f t="shared" si="14"/>
        <v>3303525300</v>
      </c>
      <c r="K105" s="8"/>
      <c r="L105" s="8"/>
      <c r="M105" s="8"/>
      <c r="N105" s="8"/>
      <c r="O105" s="8">
        <f t="shared" si="16"/>
        <v>396423</v>
      </c>
      <c r="P105" s="9">
        <v>12860</v>
      </c>
      <c r="Q105" s="11">
        <v>43830</v>
      </c>
      <c r="R105" s="11">
        <v>38</v>
      </c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>
        <f>293*3000*2</f>
        <v>1758000</v>
      </c>
      <c r="AK105" s="11">
        <f t="shared" si="15"/>
        <v>114000</v>
      </c>
      <c r="AL105" s="11">
        <v>2000000</v>
      </c>
      <c r="AM105" s="9">
        <f>1269400+800000</f>
        <v>2069400</v>
      </c>
      <c r="AN105" s="12">
        <f t="shared" si="10"/>
        <v>6350683</v>
      </c>
      <c r="AO105" s="99">
        <f t="shared" si="11"/>
        <v>234436376</v>
      </c>
      <c r="AP105" s="99"/>
      <c r="AQ105" s="55">
        <v>7947769269286</v>
      </c>
      <c r="AR105" s="55">
        <v>13091157800</v>
      </c>
      <c r="AS105" s="55">
        <v>3642539200</v>
      </c>
      <c r="AT105" s="55">
        <v>0</v>
      </c>
      <c r="AU105" s="12">
        <v>6350683</v>
      </c>
      <c r="AV105" s="99">
        <v>234436376</v>
      </c>
    </row>
    <row r="106" spans="1:48">
      <c r="A106" s="5">
        <v>43831</v>
      </c>
      <c r="B106" s="6"/>
      <c r="C106" s="6"/>
      <c r="D106" s="6"/>
      <c r="E106" s="6"/>
      <c r="F106" s="7">
        <f t="shared" si="12"/>
        <v>0</v>
      </c>
      <c r="G106" s="7">
        <f t="shared" si="13"/>
        <v>0</v>
      </c>
      <c r="H106" s="8">
        <v>0</v>
      </c>
      <c r="I106" s="8">
        <v>0</v>
      </c>
      <c r="J106" s="8">
        <f t="shared" si="14"/>
        <v>0</v>
      </c>
      <c r="K106" s="8"/>
      <c r="L106" s="8"/>
      <c r="M106" s="8"/>
      <c r="N106" s="8"/>
      <c r="O106" s="8">
        <f t="shared" si="16"/>
        <v>0</v>
      </c>
      <c r="P106" s="9">
        <v>0</v>
      </c>
      <c r="Q106" s="11">
        <v>43831</v>
      </c>
      <c r="R106" s="11">
        <v>0</v>
      </c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>
        <v>0</v>
      </c>
      <c r="AK106" s="11">
        <f t="shared" si="15"/>
        <v>0</v>
      </c>
      <c r="AL106" s="11"/>
      <c r="AM106" s="9"/>
      <c r="AN106" s="12">
        <f t="shared" si="10"/>
        <v>0</v>
      </c>
      <c r="AO106" s="99">
        <f t="shared" si="11"/>
        <v>234436376</v>
      </c>
      <c r="AP106" s="99"/>
      <c r="AQ106" s="55">
        <v>0</v>
      </c>
      <c r="AR106" s="55">
        <v>0</v>
      </c>
      <c r="AS106" s="55">
        <v>0</v>
      </c>
      <c r="AT106" s="55">
        <v>0</v>
      </c>
      <c r="AU106" s="12">
        <v>0</v>
      </c>
      <c r="AV106" s="99">
        <v>234436376</v>
      </c>
    </row>
    <row r="107" spans="1:48">
      <c r="A107" s="5">
        <v>43832</v>
      </c>
      <c r="B107" s="6"/>
      <c r="C107" s="6">
        <v>4930135500</v>
      </c>
      <c r="D107" s="6"/>
      <c r="E107" s="6"/>
      <c r="F107" s="7">
        <f t="shared" si="12"/>
        <v>4930135500</v>
      </c>
      <c r="G107" s="7">
        <f t="shared" si="13"/>
        <v>1479041</v>
      </c>
      <c r="H107" s="8">
        <v>5742767200</v>
      </c>
      <c r="I107" s="8">
        <v>8835000000</v>
      </c>
      <c r="J107" s="8">
        <f t="shared" si="14"/>
        <v>14577767200</v>
      </c>
      <c r="K107" s="8"/>
      <c r="L107" s="8"/>
      <c r="M107" s="8"/>
      <c r="N107" s="8"/>
      <c r="O107" s="8">
        <f t="shared" si="16"/>
        <v>2456132</v>
      </c>
      <c r="P107" s="9">
        <v>394885</v>
      </c>
      <c r="Q107" s="11">
        <v>43832</v>
      </c>
      <c r="R107" s="11">
        <f>152+108</f>
        <v>260</v>
      </c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>
        <f>249*3000</f>
        <v>747000</v>
      </c>
      <c r="AK107" s="11">
        <f t="shared" si="15"/>
        <v>780000</v>
      </c>
      <c r="AL107" s="11"/>
      <c r="AM107" s="9"/>
      <c r="AN107" s="12">
        <f t="shared" si="10"/>
        <v>5857058</v>
      </c>
      <c r="AO107" s="99">
        <f t="shared" si="11"/>
        <v>240293434</v>
      </c>
      <c r="AP107" s="99"/>
      <c r="AQ107" s="55">
        <v>7983366380366</v>
      </c>
      <c r="AR107" s="55">
        <v>38818262400</v>
      </c>
      <c r="AS107" s="55">
        <v>27593996000</v>
      </c>
      <c r="AT107" s="55">
        <v>0</v>
      </c>
      <c r="AU107" s="12">
        <v>5857058</v>
      </c>
      <c r="AV107" s="99">
        <v>240293434</v>
      </c>
    </row>
    <row r="108" spans="1:48">
      <c r="A108" s="5">
        <v>43833</v>
      </c>
      <c r="B108" s="6"/>
      <c r="C108" s="7">
        <v>3961855500</v>
      </c>
      <c r="D108" s="7"/>
      <c r="E108" s="7"/>
      <c r="F108" s="7">
        <f t="shared" si="12"/>
        <v>3961855500</v>
      </c>
      <c r="G108" s="7">
        <f t="shared" si="13"/>
        <v>1188557</v>
      </c>
      <c r="H108" s="8">
        <v>5218168000</v>
      </c>
      <c r="I108" s="8">
        <v>0</v>
      </c>
      <c r="J108" s="8">
        <f t="shared" si="14"/>
        <v>5218168000</v>
      </c>
      <c r="K108" s="8"/>
      <c r="L108" s="8"/>
      <c r="M108" s="8"/>
      <c r="N108" s="8"/>
      <c r="O108" s="8">
        <f t="shared" si="16"/>
        <v>626180</v>
      </c>
      <c r="P108" s="9">
        <v>176695</v>
      </c>
      <c r="Q108" s="11">
        <v>43833</v>
      </c>
      <c r="R108" s="11">
        <v>62</v>
      </c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>
        <f>193*3000*3</f>
        <v>1737000</v>
      </c>
      <c r="AK108" s="11">
        <f t="shared" si="15"/>
        <v>186000</v>
      </c>
      <c r="AL108" s="11"/>
      <c r="AM108" s="9"/>
      <c r="AN108" s="12">
        <f t="shared" si="10"/>
        <v>3914432</v>
      </c>
      <c r="AO108" s="99">
        <f t="shared" si="11"/>
        <v>244207866</v>
      </c>
      <c r="AP108" s="99"/>
      <c r="AQ108" s="55">
        <v>7662517780612</v>
      </c>
      <c r="AR108" s="55">
        <v>43318500600</v>
      </c>
      <c r="AS108" s="55">
        <v>5218168000</v>
      </c>
      <c r="AT108" s="55">
        <v>0</v>
      </c>
      <c r="AU108" s="12">
        <v>3914432</v>
      </c>
      <c r="AV108" s="99">
        <v>244207866</v>
      </c>
    </row>
    <row r="109" spans="1:48">
      <c r="A109" s="5">
        <v>43836</v>
      </c>
      <c r="B109" s="6"/>
      <c r="C109" s="6">
        <v>4903978500</v>
      </c>
      <c r="D109" s="6"/>
      <c r="E109" s="6"/>
      <c r="F109" s="7">
        <f t="shared" si="12"/>
        <v>4903978500</v>
      </c>
      <c r="G109" s="7">
        <f t="shared" si="13"/>
        <v>1471194</v>
      </c>
      <c r="H109" s="8">
        <v>9016097000</v>
      </c>
      <c r="I109" s="8">
        <v>0</v>
      </c>
      <c r="J109" s="8">
        <f t="shared" si="14"/>
        <v>9016097000</v>
      </c>
      <c r="K109" s="8"/>
      <c r="L109" s="8"/>
      <c r="M109" s="8"/>
      <c r="N109" s="8"/>
      <c r="O109" s="8">
        <f t="shared" si="16"/>
        <v>1081932</v>
      </c>
      <c r="P109" s="9">
        <v>208540</v>
      </c>
      <c r="Q109" s="11">
        <v>43836</v>
      </c>
      <c r="R109" s="11">
        <f>86+106</f>
        <v>192</v>
      </c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>
        <f>(198+15)*3000</f>
        <v>639000</v>
      </c>
      <c r="AK109" s="11">
        <f t="shared" si="15"/>
        <v>576000</v>
      </c>
      <c r="AL109" s="11"/>
      <c r="AM109" s="9"/>
      <c r="AN109" s="12">
        <f t="shared" si="10"/>
        <v>3976666</v>
      </c>
      <c r="AO109" s="99">
        <f t="shared" si="11"/>
        <v>248184532</v>
      </c>
      <c r="AP109" s="99"/>
      <c r="AQ109" s="55">
        <v>7777220531710</v>
      </c>
      <c r="AR109" s="55">
        <v>64423967200</v>
      </c>
      <c r="AS109" s="55">
        <v>13397389000</v>
      </c>
      <c r="AT109" s="55">
        <v>0</v>
      </c>
      <c r="AU109" s="12">
        <v>3976666</v>
      </c>
      <c r="AV109" s="99">
        <v>248184532</v>
      </c>
    </row>
    <row r="110" spans="1:48">
      <c r="A110" s="5">
        <v>43837</v>
      </c>
      <c r="B110" s="6">
        <v>2380730500</v>
      </c>
      <c r="C110" s="6"/>
      <c r="D110" s="6"/>
      <c r="E110" s="6"/>
      <c r="F110" s="7">
        <f t="shared" si="12"/>
        <v>2380730500</v>
      </c>
      <c r="G110" s="7">
        <f t="shared" si="13"/>
        <v>714219</v>
      </c>
      <c r="H110" s="8">
        <v>9154581500</v>
      </c>
      <c r="I110" s="8">
        <v>0</v>
      </c>
      <c r="J110" s="8">
        <f t="shared" si="14"/>
        <v>9154581500</v>
      </c>
      <c r="K110" s="8"/>
      <c r="L110" s="8"/>
      <c r="M110" s="8"/>
      <c r="N110" s="8"/>
      <c r="O110" s="8">
        <f t="shared" si="16"/>
        <v>1098550</v>
      </c>
      <c r="P110" s="9">
        <v>214240</v>
      </c>
      <c r="Q110" s="11">
        <v>43837</v>
      </c>
      <c r="R110" s="11">
        <v>134</v>
      </c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>
        <f>205*3000</f>
        <v>615000</v>
      </c>
      <c r="AK110" s="11">
        <f t="shared" si="15"/>
        <v>402000</v>
      </c>
      <c r="AL110" s="11"/>
      <c r="AM110" s="9"/>
      <c r="AN110" s="12">
        <f t="shared" si="10"/>
        <v>3044009</v>
      </c>
      <c r="AO110" s="99">
        <f t="shared" si="11"/>
        <v>251228541</v>
      </c>
      <c r="AP110" s="99"/>
      <c r="AQ110" s="55">
        <v>8071837364708</v>
      </c>
      <c r="AR110" s="55">
        <v>27098773000</v>
      </c>
      <c r="AS110" s="55">
        <v>15343391700</v>
      </c>
      <c r="AT110" s="55">
        <v>0</v>
      </c>
      <c r="AU110" s="12">
        <v>3044009</v>
      </c>
      <c r="AV110" s="99">
        <v>251228541</v>
      </c>
    </row>
    <row r="111" spans="1:48">
      <c r="A111" s="5">
        <v>43838</v>
      </c>
      <c r="B111" s="6">
        <v>1891360000</v>
      </c>
      <c r="C111" s="6">
        <v>2895317300</v>
      </c>
      <c r="D111" s="6"/>
      <c r="E111" s="6"/>
      <c r="F111" s="7">
        <f t="shared" si="12"/>
        <v>4786677300</v>
      </c>
      <c r="G111" s="7">
        <f t="shared" si="13"/>
        <v>1436003</v>
      </c>
      <c r="H111" s="8">
        <v>8406443600</v>
      </c>
      <c r="I111" s="8">
        <v>7230000000</v>
      </c>
      <c r="J111" s="8">
        <f t="shared" si="14"/>
        <v>15636443600</v>
      </c>
      <c r="K111" s="8"/>
      <c r="L111" s="8"/>
      <c r="M111" s="8"/>
      <c r="N111" s="8"/>
      <c r="O111" s="8">
        <f t="shared" si="16"/>
        <v>2454773</v>
      </c>
      <c r="P111" s="9">
        <v>273250</v>
      </c>
      <c r="Q111" s="11">
        <v>43838</v>
      </c>
      <c r="R111" s="11">
        <v>238</v>
      </c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>
        <f>261*3000</f>
        <v>783000</v>
      </c>
      <c r="AK111" s="11">
        <f t="shared" si="15"/>
        <v>714000</v>
      </c>
      <c r="AL111" s="11"/>
      <c r="AM111" s="9">
        <v>800000</v>
      </c>
      <c r="AN111" s="12">
        <f t="shared" si="10"/>
        <v>6461026</v>
      </c>
      <c r="AO111" s="99">
        <f t="shared" si="11"/>
        <v>257689567</v>
      </c>
      <c r="AP111" s="99"/>
      <c r="AQ111" s="55">
        <v>11539166498010</v>
      </c>
      <c r="AR111" s="55">
        <v>71303357600</v>
      </c>
      <c r="AS111" s="55">
        <v>22866443600</v>
      </c>
      <c r="AT111" s="55">
        <v>0</v>
      </c>
      <c r="AU111" s="12">
        <v>6461026</v>
      </c>
      <c r="AV111" s="99">
        <v>257689567</v>
      </c>
    </row>
    <row r="112" spans="1:48">
      <c r="A112" s="5">
        <v>43839</v>
      </c>
      <c r="B112" s="6">
        <v>2370795500</v>
      </c>
      <c r="C112" s="6"/>
      <c r="D112" s="6"/>
      <c r="E112" s="6"/>
      <c r="F112" s="7">
        <f t="shared" si="12"/>
        <v>2370795500</v>
      </c>
      <c r="G112" s="7">
        <f t="shared" si="13"/>
        <v>711239</v>
      </c>
      <c r="H112" s="8">
        <v>406452600</v>
      </c>
      <c r="I112" s="8">
        <v>0</v>
      </c>
      <c r="J112" s="8">
        <f t="shared" si="14"/>
        <v>406452600</v>
      </c>
      <c r="K112" s="8"/>
      <c r="L112" s="8"/>
      <c r="M112" s="8"/>
      <c r="N112" s="8"/>
      <c r="O112" s="8">
        <f t="shared" si="16"/>
        <v>48774</v>
      </c>
      <c r="P112" s="9">
        <v>13930</v>
      </c>
      <c r="Q112" s="11">
        <v>43839</v>
      </c>
      <c r="R112" s="11">
        <v>34</v>
      </c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>
        <f>285*3000</f>
        <v>855000</v>
      </c>
      <c r="AK112" s="11">
        <f t="shared" si="15"/>
        <v>102000</v>
      </c>
      <c r="AL112" s="11"/>
      <c r="AM112" s="9">
        <v>800000</v>
      </c>
      <c r="AN112" s="12">
        <f t="shared" si="10"/>
        <v>2530943</v>
      </c>
      <c r="AO112" s="99">
        <f t="shared" si="11"/>
        <v>260220510</v>
      </c>
      <c r="AP112" s="99"/>
      <c r="AQ112" s="55">
        <v>7617122598000</v>
      </c>
      <c r="AR112" s="55">
        <v>9561861400</v>
      </c>
      <c r="AS112" s="55">
        <v>625302600</v>
      </c>
      <c r="AT112" s="55">
        <v>0</v>
      </c>
      <c r="AU112" s="12">
        <v>2530943</v>
      </c>
      <c r="AV112" s="99">
        <v>260220510</v>
      </c>
    </row>
    <row r="113" spans="1:48">
      <c r="A113" s="5">
        <v>43840</v>
      </c>
      <c r="B113" s="6"/>
      <c r="C113" s="6"/>
      <c r="D113" s="6"/>
      <c r="E113" s="6"/>
      <c r="F113" s="7">
        <f t="shared" si="12"/>
        <v>0</v>
      </c>
      <c r="G113" s="7">
        <f t="shared" si="13"/>
        <v>0</v>
      </c>
      <c r="H113" s="8">
        <v>4796848200</v>
      </c>
      <c r="I113" s="8">
        <v>0</v>
      </c>
      <c r="J113" s="8">
        <f t="shared" si="14"/>
        <v>4796848200</v>
      </c>
      <c r="K113" s="8"/>
      <c r="L113" s="8"/>
      <c r="M113" s="8"/>
      <c r="N113" s="8"/>
      <c r="O113" s="8">
        <f t="shared" si="16"/>
        <v>575622</v>
      </c>
      <c r="P113" s="9">
        <v>162900</v>
      </c>
      <c r="Q113" s="11">
        <v>43840</v>
      </c>
      <c r="R113" s="11">
        <v>47</v>
      </c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>
        <f>238*3000*3</f>
        <v>2142000</v>
      </c>
      <c r="AK113" s="11">
        <f t="shared" si="15"/>
        <v>141000</v>
      </c>
      <c r="AL113" s="11"/>
      <c r="AM113" s="9"/>
      <c r="AN113" s="12">
        <f t="shared" si="10"/>
        <v>3021522</v>
      </c>
      <c r="AO113" s="99">
        <f t="shared" si="11"/>
        <v>263242032</v>
      </c>
      <c r="AP113" s="99"/>
      <c r="AQ113" s="55">
        <v>11663804173484</v>
      </c>
      <c r="AR113" s="55">
        <v>11218091000</v>
      </c>
      <c r="AS113" s="55">
        <v>4796848200</v>
      </c>
      <c r="AT113" s="55">
        <v>0</v>
      </c>
      <c r="AU113" s="12">
        <v>3021522</v>
      </c>
      <c r="AV113" s="99">
        <v>263242032</v>
      </c>
    </row>
    <row r="114" spans="1:48">
      <c r="A114" s="5">
        <v>43843</v>
      </c>
      <c r="B114" s="6">
        <v>1442547000</v>
      </c>
      <c r="C114" s="6"/>
      <c r="D114" s="6"/>
      <c r="E114" s="6"/>
      <c r="F114" s="7">
        <f t="shared" si="12"/>
        <v>1442547000</v>
      </c>
      <c r="G114" s="7">
        <f t="shared" si="13"/>
        <v>432764</v>
      </c>
      <c r="H114" s="8">
        <v>3752293600</v>
      </c>
      <c r="I114" s="8">
        <v>0</v>
      </c>
      <c r="J114" s="8">
        <f t="shared" si="14"/>
        <v>3752293600</v>
      </c>
      <c r="K114" s="8"/>
      <c r="L114" s="8"/>
      <c r="M114" s="8"/>
      <c r="N114" s="8"/>
      <c r="O114" s="8">
        <f t="shared" si="16"/>
        <v>450275</v>
      </c>
      <c r="P114" s="9">
        <v>118805</v>
      </c>
      <c r="Q114" s="11">
        <v>43843</v>
      </c>
      <c r="R114" s="11">
        <v>129</v>
      </c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>
        <f>235*3000</f>
        <v>705000</v>
      </c>
      <c r="AK114" s="11">
        <f t="shared" si="15"/>
        <v>387000</v>
      </c>
      <c r="AL114" s="11"/>
      <c r="AM114" s="9">
        <v>800000</v>
      </c>
      <c r="AN114" s="12">
        <f t="shared" si="10"/>
        <v>2893844</v>
      </c>
      <c r="AO114" s="99">
        <f t="shared" si="11"/>
        <v>266135876</v>
      </c>
      <c r="AP114" s="99"/>
      <c r="AQ114" s="55">
        <v>6796323675760</v>
      </c>
      <c r="AR114" s="55">
        <v>52478242400</v>
      </c>
      <c r="AS114" s="55">
        <v>6688293600</v>
      </c>
      <c r="AT114" s="55">
        <v>0</v>
      </c>
      <c r="AU114" s="12">
        <v>2893844</v>
      </c>
      <c r="AV114" s="99">
        <v>266135876</v>
      </c>
    </row>
    <row r="115" spans="1:48">
      <c r="A115" s="5">
        <v>43844</v>
      </c>
      <c r="B115" s="6"/>
      <c r="C115" s="7">
        <v>5936597000</v>
      </c>
      <c r="D115" s="7"/>
      <c r="E115" s="7"/>
      <c r="F115" s="7">
        <f t="shared" si="12"/>
        <v>5936597000</v>
      </c>
      <c r="G115" s="7">
        <f t="shared" si="13"/>
        <v>1780979</v>
      </c>
      <c r="H115" s="8">
        <v>5359592400</v>
      </c>
      <c r="I115" s="8">
        <v>0</v>
      </c>
      <c r="J115" s="8">
        <f t="shared" si="14"/>
        <v>5359592400</v>
      </c>
      <c r="K115" s="8"/>
      <c r="L115" s="8"/>
      <c r="M115" s="8"/>
      <c r="N115" s="8"/>
      <c r="O115" s="8">
        <f t="shared" si="16"/>
        <v>643151</v>
      </c>
      <c r="P115" s="9">
        <v>165290</v>
      </c>
      <c r="Q115" s="11">
        <v>43844</v>
      </c>
      <c r="R115" s="11">
        <v>207</v>
      </c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>
        <f>252*3000</f>
        <v>756000</v>
      </c>
      <c r="AK115" s="11">
        <f t="shared" si="15"/>
        <v>621000</v>
      </c>
      <c r="AL115" s="11"/>
      <c r="AM115" s="9"/>
      <c r="AN115" s="12">
        <f t="shared" si="10"/>
        <v>3966420</v>
      </c>
      <c r="AO115" s="99">
        <f t="shared" si="11"/>
        <v>270102296</v>
      </c>
      <c r="AP115" s="99"/>
      <c r="AQ115" s="55">
        <v>9395647417490</v>
      </c>
      <c r="AR115" s="55">
        <v>23297023400</v>
      </c>
      <c r="AS115" s="55">
        <v>8884412400</v>
      </c>
      <c r="AT115" s="55">
        <v>0</v>
      </c>
      <c r="AU115" s="12">
        <v>3966420</v>
      </c>
      <c r="AV115" s="99">
        <v>270102296</v>
      </c>
    </row>
    <row r="116" spans="1:48">
      <c r="A116" s="5">
        <v>43845</v>
      </c>
      <c r="B116" s="6"/>
      <c r="C116" s="7">
        <v>2966695500</v>
      </c>
      <c r="D116" s="7"/>
      <c r="E116" s="7"/>
      <c r="F116" s="7">
        <f t="shared" si="12"/>
        <v>2966695500</v>
      </c>
      <c r="G116" s="7">
        <f t="shared" si="13"/>
        <v>890009</v>
      </c>
      <c r="H116" s="8">
        <v>5025556000</v>
      </c>
      <c r="I116" s="8">
        <v>0</v>
      </c>
      <c r="J116" s="8">
        <f t="shared" si="14"/>
        <v>5025556000</v>
      </c>
      <c r="K116" s="8"/>
      <c r="L116" s="8"/>
      <c r="M116" s="8"/>
      <c r="N116" s="8"/>
      <c r="O116" s="8">
        <f t="shared" si="16"/>
        <v>603067</v>
      </c>
      <c r="P116" s="9">
        <v>170680</v>
      </c>
      <c r="Q116" s="11">
        <v>43845</v>
      </c>
      <c r="R116" s="11">
        <v>91</v>
      </c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>
        <f>227*3000</f>
        <v>681000</v>
      </c>
      <c r="AK116" s="11">
        <f t="shared" si="15"/>
        <v>273000</v>
      </c>
      <c r="AL116" s="11"/>
      <c r="AM116" s="9"/>
      <c r="AN116" s="12">
        <f t="shared" si="10"/>
        <v>2617756</v>
      </c>
      <c r="AO116" s="99">
        <f t="shared" si="11"/>
        <v>272720052</v>
      </c>
      <c r="AP116" s="99"/>
      <c r="AQ116" s="55">
        <v>7738047685718</v>
      </c>
      <c r="AR116" s="55">
        <v>26069484600</v>
      </c>
      <c r="AS116" s="55">
        <v>8202966000</v>
      </c>
      <c r="AT116" s="55">
        <v>0</v>
      </c>
      <c r="AU116" s="12">
        <v>2617756</v>
      </c>
      <c r="AV116" s="99">
        <v>272720052</v>
      </c>
    </row>
    <row r="117" spans="1:48">
      <c r="A117" s="5">
        <v>43846</v>
      </c>
      <c r="B117" s="6"/>
      <c r="C117" s="7">
        <v>4961625500</v>
      </c>
      <c r="D117" s="7"/>
      <c r="E117" s="7"/>
      <c r="F117" s="7">
        <f t="shared" si="12"/>
        <v>4961625500</v>
      </c>
      <c r="G117" s="7">
        <f t="shared" si="13"/>
        <v>1488488</v>
      </c>
      <c r="H117" s="8">
        <v>3037385600</v>
      </c>
      <c r="I117" s="8">
        <v>0</v>
      </c>
      <c r="J117" s="8">
        <f t="shared" si="14"/>
        <v>3037385600</v>
      </c>
      <c r="K117" s="8"/>
      <c r="L117" s="8"/>
      <c r="M117" s="8"/>
      <c r="N117" s="8"/>
      <c r="O117" s="8">
        <f t="shared" si="16"/>
        <v>364486</v>
      </c>
      <c r="P117" s="9">
        <v>102415</v>
      </c>
      <c r="Q117" s="11">
        <v>43846</v>
      </c>
      <c r="R117" s="11">
        <v>171</v>
      </c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>
        <f>276*3000</f>
        <v>828000</v>
      </c>
      <c r="AK117" s="11">
        <f t="shared" si="15"/>
        <v>513000</v>
      </c>
      <c r="AL117" s="11"/>
      <c r="AM117" s="9"/>
      <c r="AN117" s="12">
        <f t="shared" si="10"/>
        <v>3296389</v>
      </c>
      <c r="AO117" s="99">
        <f t="shared" si="11"/>
        <v>276016441</v>
      </c>
      <c r="AP117" s="99"/>
      <c r="AQ117" s="55">
        <v>10372750628600</v>
      </c>
      <c r="AR117" s="55">
        <v>40918163200</v>
      </c>
      <c r="AS117" s="55">
        <v>6194118300</v>
      </c>
      <c r="AT117" s="55">
        <v>0</v>
      </c>
      <c r="AU117" s="12">
        <v>3296389</v>
      </c>
      <c r="AV117" s="99">
        <v>276016441</v>
      </c>
    </row>
    <row r="118" spans="1:48">
      <c r="A118" s="5">
        <v>43847</v>
      </c>
      <c r="B118" s="6"/>
      <c r="C118" s="7">
        <v>177000</v>
      </c>
      <c r="D118" s="7"/>
      <c r="E118" s="7"/>
      <c r="F118" s="7">
        <f t="shared" si="12"/>
        <v>177000</v>
      </c>
      <c r="G118" s="7">
        <f t="shared" si="13"/>
        <v>53</v>
      </c>
      <c r="H118" s="8">
        <v>3308984400</v>
      </c>
      <c r="I118" s="8">
        <v>0</v>
      </c>
      <c r="J118" s="8">
        <f t="shared" si="14"/>
        <v>3308984400</v>
      </c>
      <c r="K118" s="8"/>
      <c r="L118" s="8"/>
      <c r="M118" s="8"/>
      <c r="N118" s="8"/>
      <c r="O118" s="8">
        <f t="shared" si="16"/>
        <v>397078</v>
      </c>
      <c r="P118" s="9">
        <v>111190</v>
      </c>
      <c r="Q118" s="11">
        <v>43847</v>
      </c>
      <c r="R118" s="11">
        <v>41</v>
      </c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>
        <f>241*3000*3</f>
        <v>2169000</v>
      </c>
      <c r="AK118" s="11">
        <f t="shared" si="15"/>
        <v>123000</v>
      </c>
      <c r="AL118" s="11"/>
      <c r="AM118" s="9"/>
      <c r="AN118" s="12">
        <f t="shared" si="10"/>
        <v>2800321</v>
      </c>
      <c r="AO118" s="99">
        <f t="shared" si="11"/>
        <v>278816762</v>
      </c>
      <c r="AP118" s="99"/>
      <c r="AQ118" s="55">
        <v>7524000526500</v>
      </c>
      <c r="AR118" s="55">
        <v>57972286000</v>
      </c>
      <c r="AS118" s="55">
        <v>3585438400</v>
      </c>
      <c r="AT118" s="55">
        <v>0</v>
      </c>
      <c r="AU118" s="12">
        <v>2800321</v>
      </c>
      <c r="AV118" s="99">
        <v>278816762</v>
      </c>
    </row>
    <row r="119" spans="1:48">
      <c r="A119" s="5">
        <v>43850</v>
      </c>
      <c r="B119" s="6">
        <v>4415851000</v>
      </c>
      <c r="C119" s="6"/>
      <c r="D119" s="6"/>
      <c r="E119" s="6"/>
      <c r="F119" s="7">
        <f t="shared" si="12"/>
        <v>4415851000</v>
      </c>
      <c r="G119" s="7">
        <f t="shared" si="13"/>
        <v>1324755</v>
      </c>
      <c r="H119" s="8">
        <v>2857920000</v>
      </c>
      <c r="I119" s="8">
        <v>0</v>
      </c>
      <c r="J119" s="8">
        <f t="shared" si="14"/>
        <v>2857920000</v>
      </c>
      <c r="K119" s="8"/>
      <c r="L119" s="8"/>
      <c r="M119" s="8"/>
      <c r="N119" s="8"/>
      <c r="O119" s="8">
        <f t="shared" si="16"/>
        <v>342950</v>
      </c>
      <c r="P119" s="9">
        <v>14005</v>
      </c>
      <c r="Q119" s="11">
        <v>43850</v>
      </c>
      <c r="R119" s="11">
        <v>103</v>
      </c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>
        <f>334*3000</f>
        <v>1002000</v>
      </c>
      <c r="AK119" s="11">
        <f t="shared" si="15"/>
        <v>309000</v>
      </c>
      <c r="AL119" s="11"/>
      <c r="AM119" s="9">
        <v>800000</v>
      </c>
      <c r="AN119" s="12">
        <f t="shared" si="10"/>
        <v>3792710</v>
      </c>
      <c r="AO119" s="99">
        <f t="shared" si="11"/>
        <v>282609472</v>
      </c>
      <c r="AP119" s="99"/>
      <c r="AQ119" s="55">
        <v>9043539168500</v>
      </c>
      <c r="AR119" s="55">
        <v>21790276600</v>
      </c>
      <c r="AS119" s="55">
        <v>4446900600</v>
      </c>
      <c r="AT119" s="55">
        <v>0</v>
      </c>
      <c r="AU119" s="12">
        <v>3792710</v>
      </c>
      <c r="AV119" s="99">
        <v>282609472</v>
      </c>
    </row>
    <row r="120" spans="1:48">
      <c r="A120" s="5">
        <v>43851</v>
      </c>
      <c r="B120" s="6">
        <v>2496385000</v>
      </c>
      <c r="C120" s="6">
        <v>3012385500</v>
      </c>
      <c r="D120" s="6"/>
      <c r="E120" s="6"/>
      <c r="F120" s="7">
        <f t="shared" si="12"/>
        <v>5508770500</v>
      </c>
      <c r="G120" s="7">
        <f t="shared" si="13"/>
        <v>1652631</v>
      </c>
      <c r="H120" s="8">
        <v>11082093400</v>
      </c>
      <c r="I120" s="8">
        <v>0</v>
      </c>
      <c r="J120" s="8">
        <f t="shared" si="14"/>
        <v>11082093400</v>
      </c>
      <c r="K120" s="8"/>
      <c r="L120" s="8"/>
      <c r="M120" s="8"/>
      <c r="N120" s="8"/>
      <c r="O120" s="8">
        <f t="shared" si="16"/>
        <v>1329851</v>
      </c>
      <c r="P120" s="9">
        <v>368865</v>
      </c>
      <c r="Q120" s="11">
        <v>43851</v>
      </c>
      <c r="R120" s="11">
        <v>67</v>
      </c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>
        <f>303*3000</f>
        <v>909000</v>
      </c>
      <c r="AK120" s="11">
        <f t="shared" si="15"/>
        <v>201000</v>
      </c>
      <c r="AL120" s="11"/>
      <c r="AM120" s="9">
        <v>800000</v>
      </c>
      <c r="AN120" s="12">
        <f t="shared" si="10"/>
        <v>5261347</v>
      </c>
      <c r="AO120" s="99">
        <f t="shared" si="11"/>
        <v>287870819</v>
      </c>
      <c r="AP120" s="99"/>
      <c r="AQ120" s="55">
        <v>8205265086372</v>
      </c>
      <c r="AR120" s="55">
        <v>104875286200</v>
      </c>
      <c r="AS120" s="55">
        <v>12822413400</v>
      </c>
      <c r="AT120" s="55">
        <v>0</v>
      </c>
      <c r="AU120" s="12">
        <v>5261347</v>
      </c>
      <c r="AV120" s="99">
        <v>287870819</v>
      </c>
    </row>
    <row r="121" spans="1:48">
      <c r="A121" s="5">
        <v>43852</v>
      </c>
      <c r="B121" s="6"/>
      <c r="C121" s="6">
        <v>4003259000</v>
      </c>
      <c r="D121" s="6"/>
      <c r="E121" s="6"/>
      <c r="F121" s="7">
        <f t="shared" si="12"/>
        <v>4003259000</v>
      </c>
      <c r="G121" s="7">
        <f t="shared" si="13"/>
        <v>1200978</v>
      </c>
      <c r="H121" s="8">
        <v>3136638900</v>
      </c>
      <c r="I121" s="8">
        <v>0</v>
      </c>
      <c r="J121" s="8">
        <f t="shared" si="14"/>
        <v>3136638900</v>
      </c>
      <c r="K121" s="8"/>
      <c r="L121" s="8"/>
      <c r="M121" s="8"/>
      <c r="N121" s="8"/>
      <c r="O121" s="8">
        <f t="shared" si="16"/>
        <v>376397</v>
      </c>
      <c r="P121" s="9">
        <v>103730</v>
      </c>
      <c r="Q121" s="11">
        <v>43852</v>
      </c>
      <c r="R121" s="11">
        <v>41</v>
      </c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>
        <f>344*3000*8</f>
        <v>8256000</v>
      </c>
      <c r="AK121" s="11">
        <f t="shared" si="15"/>
        <v>123000</v>
      </c>
      <c r="AL121" s="11"/>
      <c r="AM121" s="9"/>
      <c r="AN121" s="12">
        <f t="shared" si="10"/>
        <v>10060105</v>
      </c>
      <c r="AO121" s="99">
        <f t="shared" si="11"/>
        <v>297930924</v>
      </c>
      <c r="AP121" s="99"/>
      <c r="AQ121" s="55">
        <v>8686400730662</v>
      </c>
      <c r="AR121" s="55">
        <v>16073169800</v>
      </c>
      <c r="AS121" s="55">
        <v>3174288900</v>
      </c>
      <c r="AT121" s="55">
        <v>0</v>
      </c>
      <c r="AU121" s="12">
        <v>10060105</v>
      </c>
      <c r="AV121" s="99">
        <v>297930924</v>
      </c>
    </row>
    <row r="122" spans="1:48">
      <c r="A122" s="5">
        <v>43860</v>
      </c>
      <c r="B122" s="6"/>
      <c r="C122" s="6"/>
      <c r="D122" s="6"/>
      <c r="E122" s="6"/>
      <c r="F122" s="7">
        <f t="shared" si="12"/>
        <v>0</v>
      </c>
      <c r="G122" s="7">
        <f t="shared" si="13"/>
        <v>0</v>
      </c>
      <c r="H122" s="8">
        <v>17443073600</v>
      </c>
      <c r="I122" s="8">
        <v>0</v>
      </c>
      <c r="J122" s="8">
        <f t="shared" si="14"/>
        <v>17443073600</v>
      </c>
      <c r="K122" s="8"/>
      <c r="L122" s="8"/>
      <c r="M122" s="8"/>
      <c r="N122" s="8"/>
      <c r="O122" s="8">
        <f t="shared" si="16"/>
        <v>2093169</v>
      </c>
      <c r="P122" s="9">
        <v>167240</v>
      </c>
      <c r="Q122" s="11">
        <v>43860</v>
      </c>
      <c r="R122" s="11">
        <v>198</v>
      </c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>
        <f>430*3000</f>
        <v>1290000</v>
      </c>
      <c r="AK122" s="11">
        <f t="shared" si="15"/>
        <v>594000</v>
      </c>
      <c r="AL122" s="11"/>
      <c r="AM122" s="9">
        <v>3923600</v>
      </c>
      <c r="AN122" s="12">
        <f t="shared" si="10"/>
        <v>8068009</v>
      </c>
      <c r="AO122" s="99">
        <f t="shared" si="11"/>
        <v>305998933</v>
      </c>
      <c r="AP122" s="99"/>
      <c r="AQ122" s="55">
        <v>10200904413028</v>
      </c>
      <c r="AR122" s="55">
        <v>100163645200</v>
      </c>
      <c r="AS122" s="55">
        <v>20505073200</v>
      </c>
      <c r="AT122" s="55">
        <v>0</v>
      </c>
      <c r="AU122" s="12">
        <v>8068009</v>
      </c>
      <c r="AV122" s="99">
        <v>305998933</v>
      </c>
    </row>
    <row r="123" spans="1:48">
      <c r="A123" s="5">
        <v>43861</v>
      </c>
      <c r="B123" s="6">
        <v>1446196500</v>
      </c>
      <c r="C123" s="6">
        <v>968060000</v>
      </c>
      <c r="D123" s="6"/>
      <c r="E123" s="6"/>
      <c r="F123" s="7">
        <f t="shared" si="12"/>
        <v>2414256500</v>
      </c>
      <c r="G123" s="7">
        <f t="shared" si="13"/>
        <v>724277</v>
      </c>
      <c r="H123" s="8">
        <v>18253110200</v>
      </c>
      <c r="I123" s="8">
        <v>2823200000</v>
      </c>
      <c r="J123" s="8">
        <f t="shared" si="14"/>
        <v>21076310200</v>
      </c>
      <c r="K123" s="8"/>
      <c r="L123" s="8"/>
      <c r="M123" s="8"/>
      <c r="N123" s="8"/>
      <c r="O123" s="8">
        <f t="shared" si="16"/>
        <v>2755013</v>
      </c>
      <c r="P123" s="9">
        <v>309305</v>
      </c>
      <c r="Q123" s="11">
        <v>43861</v>
      </c>
      <c r="R123" s="11">
        <v>245</v>
      </c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>
        <f>469*3000*3</f>
        <v>4221000</v>
      </c>
      <c r="AK123" s="11">
        <f t="shared" si="15"/>
        <v>735000</v>
      </c>
      <c r="AL123" s="11">
        <v>2000000</v>
      </c>
      <c r="AM123" s="9">
        <v>800000</v>
      </c>
      <c r="AN123" s="12">
        <f t="shared" si="10"/>
        <v>11544595</v>
      </c>
      <c r="AO123" s="99">
        <f t="shared" si="11"/>
        <v>317543528</v>
      </c>
      <c r="AP123" s="99"/>
      <c r="AQ123" s="55">
        <v>11246222294268</v>
      </c>
      <c r="AR123" s="55">
        <v>52363665400</v>
      </c>
      <c r="AS123" s="55">
        <v>21076310200</v>
      </c>
      <c r="AT123" s="55">
        <v>0</v>
      </c>
      <c r="AU123" s="12">
        <v>11544595</v>
      </c>
      <c r="AV123" s="99">
        <v>317543528</v>
      </c>
    </row>
    <row r="124" spans="1:48">
      <c r="A124" s="5">
        <v>43864</v>
      </c>
      <c r="B124" s="6"/>
      <c r="C124" s="6">
        <v>181389000</v>
      </c>
      <c r="D124" s="6"/>
      <c r="E124" s="6"/>
      <c r="F124" s="7">
        <f t="shared" si="12"/>
        <v>181389000</v>
      </c>
      <c r="G124" s="7">
        <f t="shared" si="13"/>
        <v>54417</v>
      </c>
      <c r="H124" s="8">
        <v>18301351500</v>
      </c>
      <c r="I124" s="8">
        <v>2713365000</v>
      </c>
      <c r="J124" s="8">
        <f t="shared" si="14"/>
        <v>21014716500</v>
      </c>
      <c r="K124" s="8"/>
      <c r="L124" s="8"/>
      <c r="M124" s="8"/>
      <c r="N124" s="8"/>
      <c r="O124" s="8">
        <f t="shared" si="16"/>
        <v>2738835</v>
      </c>
      <c r="P124" s="9">
        <v>237965</v>
      </c>
      <c r="Q124" s="11">
        <v>43864</v>
      </c>
      <c r="R124" s="11">
        <v>374</v>
      </c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>
        <f>485*3000</f>
        <v>1455000</v>
      </c>
      <c r="AK124" s="11">
        <f t="shared" si="15"/>
        <v>1122000</v>
      </c>
      <c r="AL124" s="11"/>
      <c r="AM124" s="9"/>
      <c r="AN124" s="12">
        <f t="shared" si="10"/>
        <v>5608217</v>
      </c>
      <c r="AO124" s="99">
        <f t="shared" si="11"/>
        <v>323151745</v>
      </c>
      <c r="AP124" s="99"/>
      <c r="AQ124" s="55">
        <v>11841953579364</v>
      </c>
      <c r="AR124" s="55">
        <v>70256298800</v>
      </c>
      <c r="AS124" s="55">
        <v>23790817900</v>
      </c>
      <c r="AT124" s="55">
        <v>0</v>
      </c>
      <c r="AU124" s="12">
        <v>5608217</v>
      </c>
      <c r="AV124" s="99">
        <v>323151745</v>
      </c>
    </row>
    <row r="125" spans="1:48">
      <c r="A125" s="5">
        <v>43865</v>
      </c>
      <c r="B125" s="6"/>
      <c r="C125" s="6">
        <v>6488682600</v>
      </c>
      <c r="D125" s="6"/>
      <c r="E125" s="6"/>
      <c r="F125" s="7">
        <f t="shared" si="12"/>
        <v>6488682600</v>
      </c>
      <c r="G125" s="7">
        <f t="shared" si="13"/>
        <v>1946605</v>
      </c>
      <c r="H125" s="8">
        <v>7628981700</v>
      </c>
      <c r="I125" s="8">
        <v>1366500000</v>
      </c>
      <c r="J125" s="8">
        <f t="shared" si="14"/>
        <v>8995481700</v>
      </c>
      <c r="K125" s="8"/>
      <c r="L125" s="8"/>
      <c r="M125" s="8"/>
      <c r="N125" s="8"/>
      <c r="O125" s="8">
        <f t="shared" si="16"/>
        <v>1188778</v>
      </c>
      <c r="P125" s="9">
        <v>320800</v>
      </c>
      <c r="Q125" s="11">
        <v>43865</v>
      </c>
      <c r="R125" s="11">
        <v>181</v>
      </c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>
        <f>466*3000</f>
        <v>1398000</v>
      </c>
      <c r="AK125" s="11">
        <f t="shared" si="15"/>
        <v>543000</v>
      </c>
      <c r="AL125" s="11"/>
      <c r="AM125" s="9"/>
      <c r="AN125" s="12">
        <f t="shared" si="10"/>
        <v>5397183</v>
      </c>
      <c r="AO125" s="99">
        <f t="shared" si="11"/>
        <v>328548928</v>
      </c>
      <c r="AP125" s="99"/>
      <c r="AQ125" s="55">
        <v>8862927291304</v>
      </c>
      <c r="AR125" s="55">
        <v>72141426000</v>
      </c>
      <c r="AS125" s="55">
        <v>12465740300</v>
      </c>
      <c r="AT125" s="55">
        <v>0</v>
      </c>
      <c r="AU125" s="12">
        <v>5397183</v>
      </c>
      <c r="AV125" s="99">
        <v>328548928</v>
      </c>
    </row>
    <row r="126" spans="1:48">
      <c r="A126" s="5">
        <v>43866</v>
      </c>
      <c r="B126" s="6"/>
      <c r="C126" s="6">
        <v>4610926900</v>
      </c>
      <c r="D126" s="6"/>
      <c r="E126" s="6"/>
      <c r="F126" s="7">
        <f t="shared" si="12"/>
        <v>4610926900</v>
      </c>
      <c r="G126" s="7">
        <f t="shared" si="13"/>
        <v>1383278</v>
      </c>
      <c r="H126" s="8">
        <v>11797938500</v>
      </c>
      <c r="I126" s="8">
        <v>0</v>
      </c>
      <c r="J126" s="8">
        <f t="shared" si="14"/>
        <v>11797938500</v>
      </c>
      <c r="K126" s="8"/>
      <c r="L126" s="8"/>
      <c r="M126" s="8"/>
      <c r="N126" s="8"/>
      <c r="O126" s="8">
        <f t="shared" si="16"/>
        <v>1415753</v>
      </c>
      <c r="P126" s="9">
        <v>416705</v>
      </c>
      <c r="Q126" s="11">
        <v>43866</v>
      </c>
      <c r="R126" s="11">
        <v>142</v>
      </c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>
        <f>382*3000</f>
        <v>1146000</v>
      </c>
      <c r="AK126" s="11">
        <f t="shared" si="15"/>
        <v>426000</v>
      </c>
      <c r="AL126" s="11"/>
      <c r="AM126" s="9"/>
      <c r="AN126" s="12">
        <f t="shared" si="10"/>
        <v>4787736</v>
      </c>
      <c r="AO126" s="99">
        <f t="shared" si="11"/>
        <v>333336664</v>
      </c>
      <c r="AP126" s="99"/>
      <c r="AQ126" s="55">
        <v>10009246400928</v>
      </c>
      <c r="AR126" s="55">
        <v>95858419800</v>
      </c>
      <c r="AS126" s="55">
        <v>11815501000</v>
      </c>
      <c r="AT126" s="55">
        <v>0</v>
      </c>
      <c r="AU126" s="12">
        <v>4787736</v>
      </c>
      <c r="AV126" s="99">
        <v>333336664</v>
      </c>
    </row>
    <row r="127" spans="1:48">
      <c r="A127" s="5">
        <v>43867</v>
      </c>
      <c r="B127" s="6">
        <v>2264489500</v>
      </c>
      <c r="C127" s="6">
        <v>10251845000</v>
      </c>
      <c r="D127" s="6"/>
      <c r="E127" s="6"/>
      <c r="F127" s="7">
        <f t="shared" si="12"/>
        <v>12516334500</v>
      </c>
      <c r="G127" s="7">
        <f t="shared" si="13"/>
        <v>3754900</v>
      </c>
      <c r="H127" s="8">
        <v>7179746500</v>
      </c>
      <c r="I127" s="8">
        <v>0</v>
      </c>
      <c r="J127" s="8">
        <f t="shared" si="14"/>
        <v>7179746500</v>
      </c>
      <c r="K127" s="8"/>
      <c r="L127" s="8"/>
      <c r="M127" s="8"/>
      <c r="N127" s="8"/>
      <c r="O127" s="8">
        <f t="shared" si="16"/>
        <v>861570</v>
      </c>
      <c r="P127" s="9">
        <v>253490</v>
      </c>
      <c r="Q127" s="11">
        <v>43867</v>
      </c>
      <c r="R127" s="11">
        <v>106</v>
      </c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>
        <f>464*3000</f>
        <v>1392000</v>
      </c>
      <c r="AK127" s="11">
        <f t="shared" si="15"/>
        <v>318000</v>
      </c>
      <c r="AL127" s="11"/>
      <c r="AM127" s="9">
        <v>700000</v>
      </c>
      <c r="AN127" s="12">
        <f t="shared" si="10"/>
        <v>7279960</v>
      </c>
      <c r="AO127" s="99">
        <f t="shared" si="11"/>
        <v>340616624</v>
      </c>
      <c r="AP127" s="99"/>
      <c r="AQ127" s="55">
        <v>9680320530150</v>
      </c>
      <c r="AR127" s="55">
        <v>76826864000</v>
      </c>
      <c r="AS127" s="55">
        <v>10009482700</v>
      </c>
      <c r="AT127" s="55">
        <v>0</v>
      </c>
      <c r="AU127" s="12">
        <v>7279960</v>
      </c>
      <c r="AV127" s="99">
        <v>340616624</v>
      </c>
    </row>
    <row r="128" spans="1:48">
      <c r="A128" s="5">
        <v>43868</v>
      </c>
      <c r="B128" s="6"/>
      <c r="C128" s="6"/>
      <c r="D128" s="6"/>
      <c r="E128" s="6"/>
      <c r="F128" s="7">
        <f t="shared" si="12"/>
        <v>0</v>
      </c>
      <c r="G128" s="7">
        <f t="shared" si="13"/>
        <v>0</v>
      </c>
      <c r="H128" s="8">
        <v>16975464800</v>
      </c>
      <c r="I128" s="8">
        <v>0</v>
      </c>
      <c r="J128" s="8">
        <f t="shared" si="14"/>
        <v>16975464800</v>
      </c>
      <c r="K128" s="8"/>
      <c r="L128" s="8"/>
      <c r="M128" s="8"/>
      <c r="N128" s="8"/>
      <c r="O128" s="8">
        <f t="shared" si="16"/>
        <v>2037056</v>
      </c>
      <c r="P128" s="9">
        <v>591245</v>
      </c>
      <c r="Q128" s="11">
        <v>43868</v>
      </c>
      <c r="R128" s="11">
        <v>225</v>
      </c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>
        <f>265*3000*3</f>
        <v>2385000</v>
      </c>
      <c r="AK128" s="11">
        <f t="shared" si="15"/>
        <v>675000</v>
      </c>
      <c r="AL128" s="11"/>
      <c r="AM128" s="9"/>
      <c r="AN128" s="12">
        <f t="shared" si="10"/>
        <v>5688301</v>
      </c>
      <c r="AO128" s="99">
        <f t="shared" si="11"/>
        <v>346304925</v>
      </c>
      <c r="AP128" s="99"/>
      <c r="AQ128" s="55">
        <v>9227685530000</v>
      </c>
      <c r="AR128" s="55">
        <v>153955714600</v>
      </c>
      <c r="AS128" s="55">
        <v>16975464800</v>
      </c>
      <c r="AT128" s="55">
        <v>0</v>
      </c>
      <c r="AU128" s="12">
        <v>5688301</v>
      </c>
      <c r="AV128" s="99">
        <v>346304925</v>
      </c>
    </row>
    <row r="129" spans="1:48">
      <c r="A129" s="5">
        <v>43871</v>
      </c>
      <c r="B129" s="6">
        <v>5477161500</v>
      </c>
      <c r="C129" s="6"/>
      <c r="D129" s="6"/>
      <c r="E129" s="6"/>
      <c r="F129" s="7">
        <f t="shared" si="12"/>
        <v>5477161500</v>
      </c>
      <c r="G129" s="7">
        <f t="shared" si="13"/>
        <v>1643148</v>
      </c>
      <c r="H129" s="8">
        <v>10119878100</v>
      </c>
      <c r="I129" s="8">
        <v>0</v>
      </c>
      <c r="J129" s="8">
        <f t="shared" si="14"/>
        <v>10119878100</v>
      </c>
      <c r="K129" s="8"/>
      <c r="L129" s="8"/>
      <c r="M129" s="8"/>
      <c r="N129" s="8"/>
      <c r="O129" s="8">
        <f t="shared" si="16"/>
        <v>1214385</v>
      </c>
      <c r="P129" s="9">
        <v>351930</v>
      </c>
      <c r="Q129" s="11">
        <v>43871</v>
      </c>
      <c r="R129" s="11">
        <v>75</v>
      </c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>
        <f>218*3000</f>
        <v>654000</v>
      </c>
      <c r="AK129" s="11">
        <f t="shared" si="15"/>
        <v>225000</v>
      </c>
      <c r="AL129" s="11"/>
      <c r="AM129" s="9">
        <v>700000</v>
      </c>
      <c r="AN129" s="12">
        <f t="shared" si="10"/>
        <v>4788463</v>
      </c>
      <c r="AO129" s="99">
        <f t="shared" si="11"/>
        <v>351093388</v>
      </c>
      <c r="AP129" s="99"/>
      <c r="AQ129" s="55">
        <v>7235834057518</v>
      </c>
      <c r="AR129" s="55">
        <v>118804989200</v>
      </c>
      <c r="AS129" s="55">
        <v>10126968100</v>
      </c>
      <c r="AT129" s="55">
        <v>0</v>
      </c>
      <c r="AU129" s="12">
        <v>4788463</v>
      </c>
      <c r="AV129" s="99">
        <v>351093388</v>
      </c>
    </row>
    <row r="130" spans="1:48">
      <c r="A130" s="5">
        <v>43872</v>
      </c>
      <c r="B130" s="6"/>
      <c r="C130" s="6">
        <v>9743833900</v>
      </c>
      <c r="D130" s="6"/>
      <c r="E130" s="6"/>
      <c r="F130" s="7">
        <f t="shared" si="12"/>
        <v>9743833900</v>
      </c>
      <c r="G130" s="7">
        <f t="shared" si="13"/>
        <v>2923150</v>
      </c>
      <c r="H130" s="8">
        <v>8416033100</v>
      </c>
      <c r="I130" s="8">
        <v>0</v>
      </c>
      <c r="J130" s="8">
        <f t="shared" si="14"/>
        <v>8416033100</v>
      </c>
      <c r="K130" s="8"/>
      <c r="L130" s="8"/>
      <c r="M130" s="8"/>
      <c r="N130" s="8"/>
      <c r="O130" s="8">
        <f t="shared" si="16"/>
        <v>1009924</v>
      </c>
      <c r="P130" s="9">
        <v>295025</v>
      </c>
      <c r="Q130" s="11">
        <v>43872</v>
      </c>
      <c r="R130" s="11">
        <v>22</v>
      </c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>
        <f>218*3000</f>
        <v>654000</v>
      </c>
      <c r="AK130" s="11">
        <f t="shared" si="15"/>
        <v>66000</v>
      </c>
      <c r="AL130" s="11"/>
      <c r="AM130" s="9"/>
      <c r="AN130" s="12">
        <f t="shared" si="10"/>
        <v>4948099</v>
      </c>
      <c r="AO130" s="99">
        <f t="shared" si="11"/>
        <v>356041487</v>
      </c>
      <c r="AP130" s="99"/>
      <c r="AQ130" s="55">
        <v>7345979166742</v>
      </c>
      <c r="AR130" s="55">
        <v>82710677000</v>
      </c>
      <c r="AS130" s="55">
        <v>8416033100</v>
      </c>
      <c r="AT130" s="55">
        <v>0</v>
      </c>
      <c r="AU130" s="12">
        <v>4948099</v>
      </c>
      <c r="AV130" s="99">
        <v>356041487</v>
      </c>
    </row>
    <row r="131" spans="1:48">
      <c r="A131" s="5">
        <v>43873</v>
      </c>
      <c r="B131" s="6">
        <v>1410304500</v>
      </c>
      <c r="C131" s="6">
        <v>6930403400</v>
      </c>
      <c r="D131" s="6"/>
      <c r="E131" s="6"/>
      <c r="F131" s="7">
        <f t="shared" si="12"/>
        <v>8340707900</v>
      </c>
      <c r="G131" s="7">
        <f t="shared" si="13"/>
        <v>2502212</v>
      </c>
      <c r="H131" s="8">
        <v>9133647300</v>
      </c>
      <c r="I131" s="8">
        <v>0</v>
      </c>
      <c r="J131" s="8">
        <f t="shared" si="14"/>
        <v>9133647300</v>
      </c>
      <c r="K131" s="8"/>
      <c r="L131" s="8"/>
      <c r="M131" s="8"/>
      <c r="N131" s="8"/>
      <c r="O131" s="8">
        <f t="shared" si="16"/>
        <v>1096038</v>
      </c>
      <c r="P131" s="9">
        <v>317380</v>
      </c>
      <c r="Q131" s="11">
        <v>43873</v>
      </c>
      <c r="R131" s="11">
        <v>24</v>
      </c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>
        <f>208*3000</f>
        <v>624000</v>
      </c>
      <c r="AK131" s="11">
        <f t="shared" si="15"/>
        <v>72000</v>
      </c>
      <c r="AL131" s="11"/>
      <c r="AM131" s="9">
        <v>700000</v>
      </c>
      <c r="AN131" s="12">
        <f t="shared" si="10"/>
        <v>5311630</v>
      </c>
      <c r="AO131" s="99">
        <f t="shared" si="11"/>
        <v>361353117</v>
      </c>
      <c r="AP131" s="99"/>
      <c r="AQ131" s="55">
        <v>10286864322346</v>
      </c>
      <c r="AR131" s="55">
        <v>89930270200</v>
      </c>
      <c r="AS131" s="55">
        <v>9169608300</v>
      </c>
      <c r="AT131" s="55">
        <v>0</v>
      </c>
      <c r="AU131" s="12">
        <v>5311630</v>
      </c>
      <c r="AV131" s="99">
        <v>361353117</v>
      </c>
    </row>
    <row r="132" spans="1:48">
      <c r="A132" s="5">
        <v>43874</v>
      </c>
      <c r="B132" s="6">
        <v>3753236500</v>
      </c>
      <c r="C132" s="6">
        <v>897041500</v>
      </c>
      <c r="D132" s="6"/>
      <c r="E132" s="6"/>
      <c r="F132" s="7">
        <f t="shared" si="12"/>
        <v>4650278000</v>
      </c>
      <c r="G132" s="7">
        <f t="shared" si="13"/>
        <v>1395083</v>
      </c>
      <c r="H132" s="8">
        <v>3112737000</v>
      </c>
      <c r="I132" s="8">
        <v>0</v>
      </c>
      <c r="J132" s="8">
        <f t="shared" si="14"/>
        <v>3112737000</v>
      </c>
      <c r="K132" s="8"/>
      <c r="L132" s="8"/>
      <c r="M132" s="8"/>
      <c r="N132" s="8"/>
      <c r="O132" s="8">
        <f t="shared" si="16"/>
        <v>373528</v>
      </c>
      <c r="P132" s="9">
        <v>108550</v>
      </c>
      <c r="Q132" s="11">
        <v>43874</v>
      </c>
      <c r="R132" s="11">
        <v>20</v>
      </c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>
        <f>188*3000</f>
        <v>564000</v>
      </c>
      <c r="AK132" s="11">
        <f t="shared" si="15"/>
        <v>60000</v>
      </c>
      <c r="AL132" s="11"/>
      <c r="AM132" s="9">
        <v>700000</v>
      </c>
      <c r="AN132" s="12">
        <f t="shared" si="10"/>
        <v>3201161</v>
      </c>
      <c r="AO132" s="99">
        <f t="shared" si="11"/>
        <v>364554278</v>
      </c>
      <c r="AP132" s="99"/>
      <c r="AQ132" s="55">
        <v>8085524159770</v>
      </c>
      <c r="AR132" s="55">
        <v>33638401800</v>
      </c>
      <c r="AS132" s="55">
        <v>3119902000</v>
      </c>
      <c r="AT132" s="55">
        <v>0</v>
      </c>
      <c r="AU132" s="12">
        <v>3201161</v>
      </c>
      <c r="AV132" s="99">
        <v>364554278</v>
      </c>
    </row>
    <row r="133" spans="1:48">
      <c r="A133" s="23">
        <v>43875</v>
      </c>
      <c r="B133" s="24"/>
      <c r="C133" s="24">
        <v>3591129000</v>
      </c>
      <c r="D133" s="24"/>
      <c r="E133" s="24"/>
      <c r="F133" s="7">
        <f t="shared" si="12"/>
        <v>3591129000</v>
      </c>
      <c r="G133" s="7">
        <f t="shared" si="13"/>
        <v>1077339</v>
      </c>
      <c r="H133" s="25">
        <v>3643078000</v>
      </c>
      <c r="I133" s="25">
        <v>0</v>
      </c>
      <c r="J133" s="8">
        <f t="shared" si="14"/>
        <v>3643078000</v>
      </c>
      <c r="K133" s="25"/>
      <c r="L133" s="25"/>
      <c r="M133" s="25"/>
      <c r="N133" s="25"/>
      <c r="O133" s="8">
        <f t="shared" si="16"/>
        <v>437169</v>
      </c>
      <c r="P133" s="26">
        <v>126425</v>
      </c>
      <c r="Q133" s="11">
        <v>43875</v>
      </c>
      <c r="R133" s="27">
        <v>2</v>
      </c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>
        <f>188*3000*3</f>
        <v>1692000</v>
      </c>
      <c r="AK133" s="11">
        <f t="shared" ref="AK133:AK157" si="17">R133*3000</f>
        <v>6000</v>
      </c>
      <c r="AL133" s="27"/>
      <c r="AM133" s="26"/>
      <c r="AN133" s="12">
        <f t="shared" ref="AN133:AN196" si="18">AM133+AL133+AK133+AJ133+P133+O133+G133</f>
        <v>3338933</v>
      </c>
      <c r="AO133" s="99">
        <f t="shared" si="11"/>
        <v>367893211</v>
      </c>
      <c r="AP133" s="99"/>
      <c r="AQ133" s="55">
        <v>8698224023854</v>
      </c>
      <c r="AR133" s="55">
        <v>52962515400</v>
      </c>
      <c r="AS133" s="55">
        <v>3643078000</v>
      </c>
      <c r="AT133" s="55">
        <v>0</v>
      </c>
      <c r="AU133" s="12">
        <v>3338933</v>
      </c>
      <c r="AV133" s="99">
        <v>367893211</v>
      </c>
    </row>
    <row r="134" spans="1:48">
      <c r="A134" s="5">
        <v>43878</v>
      </c>
      <c r="B134" s="6">
        <v>1915339500</v>
      </c>
      <c r="C134" s="6">
        <v>3524183000</v>
      </c>
      <c r="D134" s="6"/>
      <c r="E134" s="6"/>
      <c r="F134" s="7">
        <f t="shared" si="12"/>
        <v>5439522500</v>
      </c>
      <c r="G134" s="7">
        <f t="shared" si="13"/>
        <v>1631857</v>
      </c>
      <c r="H134" s="8">
        <v>4254827500</v>
      </c>
      <c r="I134" s="8">
        <v>0</v>
      </c>
      <c r="J134" s="8">
        <f t="shared" si="14"/>
        <v>4254827500</v>
      </c>
      <c r="K134" s="8"/>
      <c r="L134" s="8"/>
      <c r="M134" s="8"/>
      <c r="N134" s="8"/>
      <c r="O134" s="8">
        <f t="shared" si="16"/>
        <v>510579</v>
      </c>
      <c r="P134" s="9">
        <v>147865</v>
      </c>
      <c r="Q134" s="11">
        <v>43878</v>
      </c>
      <c r="R134" s="11">
        <f>38+38</f>
        <v>76</v>
      </c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>
        <f>188*3000</f>
        <v>564000</v>
      </c>
      <c r="AK134" s="11">
        <f t="shared" si="17"/>
        <v>228000</v>
      </c>
      <c r="AL134" s="11"/>
      <c r="AM134" s="9">
        <v>700000</v>
      </c>
      <c r="AN134" s="12">
        <f t="shared" si="18"/>
        <v>3782301</v>
      </c>
      <c r="AO134" s="99">
        <f t="shared" ref="AO134:AO197" si="19">AO133+AN134</f>
        <v>371675512</v>
      </c>
      <c r="AP134" s="99"/>
      <c r="AQ134" s="55">
        <v>9146577201076</v>
      </c>
      <c r="AR134" s="55">
        <v>16112967800</v>
      </c>
      <c r="AS134" s="55">
        <v>4254827500</v>
      </c>
      <c r="AT134" s="55">
        <v>0</v>
      </c>
      <c r="AU134" s="12">
        <v>3782301</v>
      </c>
      <c r="AV134" s="99">
        <v>371675512</v>
      </c>
    </row>
    <row r="135" spans="1:48">
      <c r="A135" s="5">
        <v>43879</v>
      </c>
      <c r="B135" s="6">
        <v>6274810500</v>
      </c>
      <c r="C135" s="6">
        <v>11404410500</v>
      </c>
      <c r="D135" s="6"/>
      <c r="E135" s="6"/>
      <c r="F135" s="7">
        <f t="shared" si="12"/>
        <v>17679221000</v>
      </c>
      <c r="G135" s="7">
        <f t="shared" si="13"/>
        <v>5303766</v>
      </c>
      <c r="H135" s="8">
        <v>6163269500</v>
      </c>
      <c r="I135" s="8">
        <v>0</v>
      </c>
      <c r="J135" s="8">
        <f t="shared" si="14"/>
        <v>6163269500</v>
      </c>
      <c r="K135" s="8"/>
      <c r="L135" s="8"/>
      <c r="M135" s="8"/>
      <c r="N135" s="8"/>
      <c r="O135" s="8">
        <f t="shared" si="16"/>
        <v>739592</v>
      </c>
      <c r="P135" s="9">
        <v>153930</v>
      </c>
      <c r="Q135" s="11">
        <v>43879</v>
      </c>
      <c r="R135" s="11">
        <f>51+222</f>
        <v>273</v>
      </c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>
        <f>359*3000</f>
        <v>1077000</v>
      </c>
      <c r="AK135" s="11">
        <f t="shared" si="17"/>
        <v>819000</v>
      </c>
      <c r="AL135" s="11"/>
      <c r="AM135" s="9">
        <v>700000</v>
      </c>
      <c r="AN135" s="12">
        <f t="shared" si="18"/>
        <v>8793288</v>
      </c>
      <c r="AO135" s="99">
        <f t="shared" si="19"/>
        <v>380468800</v>
      </c>
      <c r="AP135" s="99"/>
      <c r="AQ135" s="55">
        <v>9633725821412</v>
      </c>
      <c r="AR135" s="55">
        <v>45422417000</v>
      </c>
      <c r="AS135" s="55">
        <v>8607469500</v>
      </c>
      <c r="AT135" s="55">
        <v>0</v>
      </c>
      <c r="AU135" s="12">
        <v>8793288</v>
      </c>
      <c r="AV135" s="99">
        <v>380468800</v>
      </c>
    </row>
    <row r="136" spans="1:48">
      <c r="A136" s="5">
        <v>43880</v>
      </c>
      <c r="B136" s="6"/>
      <c r="C136" s="6">
        <v>45552000</v>
      </c>
      <c r="D136" s="6"/>
      <c r="E136" s="6"/>
      <c r="F136" s="7">
        <f t="shared" si="12"/>
        <v>45552000</v>
      </c>
      <c r="G136" s="7">
        <f t="shared" si="13"/>
        <v>13666</v>
      </c>
      <c r="H136" s="8">
        <v>2645877400</v>
      </c>
      <c r="I136" s="8"/>
      <c r="J136" s="8">
        <f t="shared" si="14"/>
        <v>2645877400</v>
      </c>
      <c r="K136" s="8"/>
      <c r="L136" s="8"/>
      <c r="M136" s="8"/>
      <c r="N136" s="8"/>
      <c r="O136" s="8">
        <f t="shared" si="16"/>
        <v>317505</v>
      </c>
      <c r="P136" s="9">
        <v>91535</v>
      </c>
      <c r="Q136" s="11">
        <v>43880</v>
      </c>
      <c r="R136" s="11">
        <v>192</v>
      </c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>
        <f>329*3000</f>
        <v>987000</v>
      </c>
      <c r="AK136" s="11">
        <f t="shared" si="17"/>
        <v>576000</v>
      </c>
      <c r="AL136" s="11"/>
      <c r="AM136" s="9"/>
      <c r="AN136" s="12">
        <f t="shared" si="18"/>
        <v>1985706</v>
      </c>
      <c r="AO136" s="99">
        <f t="shared" si="19"/>
        <v>382454506</v>
      </c>
      <c r="AP136" s="99"/>
      <c r="AQ136" s="55">
        <v>10292344574130</v>
      </c>
      <c r="AR136" s="55">
        <v>17151533800</v>
      </c>
      <c r="AS136" s="55">
        <v>5517877400</v>
      </c>
      <c r="AT136" s="55">
        <v>0</v>
      </c>
      <c r="AU136" s="12">
        <v>1985706</v>
      </c>
      <c r="AV136" s="99">
        <v>382454506</v>
      </c>
    </row>
    <row r="137" spans="1:48">
      <c r="A137" s="5">
        <v>43881</v>
      </c>
      <c r="B137" s="6">
        <v>4560849500</v>
      </c>
      <c r="C137" s="6"/>
      <c r="D137" s="6"/>
      <c r="E137" s="6"/>
      <c r="F137" s="7">
        <f t="shared" si="12"/>
        <v>4560849500</v>
      </c>
      <c r="G137" s="7">
        <f t="shared" si="13"/>
        <v>1368255</v>
      </c>
      <c r="H137" s="8">
        <v>1589803200</v>
      </c>
      <c r="I137" s="8">
        <v>10085100000</v>
      </c>
      <c r="J137" s="8">
        <f t="shared" si="14"/>
        <v>11674903200</v>
      </c>
      <c r="K137" s="8"/>
      <c r="L137" s="8"/>
      <c r="M137" s="8"/>
      <c r="N137" s="8"/>
      <c r="O137" s="8">
        <f t="shared" si="16"/>
        <v>2207796</v>
      </c>
      <c r="P137" s="9">
        <v>5</v>
      </c>
      <c r="Q137" s="11">
        <v>43881</v>
      </c>
      <c r="R137" s="11">
        <v>510</v>
      </c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>
        <f>541*3000</f>
        <v>1623000</v>
      </c>
      <c r="AK137" s="11">
        <f t="shared" si="17"/>
        <v>1530000</v>
      </c>
      <c r="AL137" s="11"/>
      <c r="AM137" s="9">
        <v>800000</v>
      </c>
      <c r="AN137" s="12">
        <f t="shared" si="18"/>
        <v>7529056</v>
      </c>
      <c r="AO137" s="99">
        <f t="shared" si="19"/>
        <v>389983562</v>
      </c>
      <c r="AP137" s="99"/>
      <c r="AQ137" s="55">
        <v>7841052885922</v>
      </c>
      <c r="AR137" s="55">
        <v>71690103600</v>
      </c>
      <c r="AS137" s="55">
        <v>15133303200</v>
      </c>
      <c r="AT137" s="55">
        <v>0</v>
      </c>
      <c r="AU137" s="12">
        <v>7529056</v>
      </c>
      <c r="AV137" s="99">
        <v>389983562</v>
      </c>
    </row>
    <row r="138" spans="1:48">
      <c r="A138" s="5">
        <v>43882</v>
      </c>
      <c r="B138" s="6">
        <v>2015265000</v>
      </c>
      <c r="C138" s="6">
        <v>81261000</v>
      </c>
      <c r="D138" s="6"/>
      <c r="E138" s="6"/>
      <c r="F138" s="7">
        <f t="shared" si="12"/>
        <v>2096526000</v>
      </c>
      <c r="G138" s="7">
        <f t="shared" si="13"/>
        <v>628958</v>
      </c>
      <c r="H138" s="8">
        <v>20896981400</v>
      </c>
      <c r="I138" s="8">
        <v>4352400000</v>
      </c>
      <c r="J138" s="8">
        <f t="shared" si="14"/>
        <v>25249381400</v>
      </c>
      <c r="K138" s="8"/>
      <c r="L138" s="8"/>
      <c r="M138" s="8"/>
      <c r="N138" s="8"/>
      <c r="O138" s="8">
        <f t="shared" si="16"/>
        <v>3378118</v>
      </c>
      <c r="P138" s="9">
        <v>500000</v>
      </c>
      <c r="Q138" s="11">
        <v>43882</v>
      </c>
      <c r="R138" s="11">
        <v>340</v>
      </c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>
        <f>353*3000*3</f>
        <v>3177000</v>
      </c>
      <c r="AK138" s="11">
        <f t="shared" si="17"/>
        <v>1020000</v>
      </c>
      <c r="AL138" s="11"/>
      <c r="AM138" s="9">
        <v>800000</v>
      </c>
      <c r="AN138" s="12">
        <f t="shared" si="18"/>
        <v>9504076</v>
      </c>
      <c r="AO138" s="99">
        <f t="shared" si="19"/>
        <v>399487638</v>
      </c>
      <c r="AP138" s="99"/>
      <c r="AQ138" s="55">
        <v>9390264364430</v>
      </c>
      <c r="AR138" s="55">
        <v>126092203200</v>
      </c>
      <c r="AS138" s="55">
        <v>25249381400</v>
      </c>
      <c r="AT138" s="55">
        <v>0</v>
      </c>
      <c r="AU138" s="12">
        <v>9504076</v>
      </c>
      <c r="AV138" s="99">
        <v>399487638</v>
      </c>
    </row>
    <row r="139" spans="1:48">
      <c r="A139" s="5">
        <v>43885</v>
      </c>
      <c r="B139" s="6"/>
      <c r="C139" s="6"/>
      <c r="D139" s="6"/>
      <c r="E139" s="6"/>
      <c r="F139" s="7">
        <f t="shared" ref="F139:F144" si="20">B139+C139</f>
        <v>0</v>
      </c>
      <c r="G139" s="7">
        <f t="shared" ref="G139:G156" si="21">ROUND(F139*0.03%,0)</f>
        <v>0</v>
      </c>
      <c r="H139" s="8">
        <v>6114985300</v>
      </c>
      <c r="I139" s="8"/>
      <c r="J139" s="8">
        <f t="shared" ref="J139:J149" si="22">H139+I139</f>
        <v>6114985300</v>
      </c>
      <c r="K139" s="8"/>
      <c r="L139" s="8"/>
      <c r="M139" s="8"/>
      <c r="N139" s="8"/>
      <c r="O139" s="8">
        <f t="shared" si="16"/>
        <v>733798</v>
      </c>
      <c r="P139" s="9">
        <v>130990</v>
      </c>
      <c r="Q139" s="11">
        <v>43885</v>
      </c>
      <c r="R139" s="11">
        <v>165</v>
      </c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>
        <f>392*3000</f>
        <v>1176000</v>
      </c>
      <c r="AK139" s="11">
        <f t="shared" si="17"/>
        <v>495000</v>
      </c>
      <c r="AL139" s="11"/>
      <c r="AM139" s="9"/>
      <c r="AN139" s="12">
        <f t="shared" si="18"/>
        <v>2535788</v>
      </c>
      <c r="AO139" s="99">
        <f t="shared" si="19"/>
        <v>402023426</v>
      </c>
      <c r="AP139" s="99"/>
      <c r="AQ139" s="55">
        <v>12332103221480</v>
      </c>
      <c r="AR139" s="55">
        <v>15848521200</v>
      </c>
      <c r="AS139" s="55">
        <v>6114985300</v>
      </c>
      <c r="AT139" s="55">
        <v>0</v>
      </c>
      <c r="AU139" s="12">
        <v>2535788</v>
      </c>
      <c r="AV139" s="99">
        <v>402023426</v>
      </c>
    </row>
    <row r="140" spans="1:48">
      <c r="A140" s="5">
        <v>43886</v>
      </c>
      <c r="B140" s="6"/>
      <c r="C140" s="6"/>
      <c r="D140" s="6"/>
      <c r="E140" s="6"/>
      <c r="F140" s="7">
        <f t="shared" si="20"/>
        <v>0</v>
      </c>
      <c r="G140" s="7">
        <f t="shared" si="21"/>
        <v>0</v>
      </c>
      <c r="H140" s="8">
        <v>10591097800</v>
      </c>
      <c r="I140" s="8">
        <v>4158000000</v>
      </c>
      <c r="J140" s="8">
        <f t="shared" si="22"/>
        <v>14749097800</v>
      </c>
      <c r="K140" s="8"/>
      <c r="L140" s="8"/>
      <c r="M140" s="8"/>
      <c r="N140" s="8"/>
      <c r="O140" s="8">
        <f t="shared" si="16"/>
        <v>2102532</v>
      </c>
      <c r="P140" s="9">
        <v>313325</v>
      </c>
      <c r="Q140" s="11">
        <v>43886</v>
      </c>
      <c r="R140" s="11">
        <v>240</v>
      </c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>
        <f>372*3000</f>
        <v>1116000</v>
      </c>
      <c r="AK140" s="11">
        <f t="shared" si="17"/>
        <v>720000</v>
      </c>
      <c r="AL140" s="11"/>
      <c r="AM140" s="9"/>
      <c r="AN140" s="12">
        <f t="shared" si="18"/>
        <v>4251857</v>
      </c>
      <c r="AO140" s="99">
        <f t="shared" si="19"/>
        <v>406275283</v>
      </c>
      <c r="AP140" s="99"/>
      <c r="AQ140" s="55">
        <v>9511661030172</v>
      </c>
      <c r="AR140" s="55">
        <v>40799188400</v>
      </c>
      <c r="AS140" s="55">
        <v>18453679000</v>
      </c>
      <c r="AT140" s="55">
        <v>0</v>
      </c>
      <c r="AU140" s="12">
        <v>4251857</v>
      </c>
      <c r="AV140" s="99">
        <v>406275283</v>
      </c>
    </row>
    <row r="141" spans="1:48">
      <c r="A141" s="5">
        <v>43887</v>
      </c>
      <c r="B141" s="6"/>
      <c r="C141" s="6"/>
      <c r="D141" s="6"/>
      <c r="E141" s="6"/>
      <c r="F141" s="7">
        <f t="shared" si="20"/>
        <v>0</v>
      </c>
      <c r="G141" s="7">
        <f t="shared" si="21"/>
        <v>0</v>
      </c>
      <c r="H141" s="8">
        <v>5749853100</v>
      </c>
      <c r="I141" s="8">
        <v>4195200000</v>
      </c>
      <c r="J141" s="8">
        <f t="shared" si="22"/>
        <v>9945053100</v>
      </c>
      <c r="K141" s="8"/>
      <c r="L141" s="8"/>
      <c r="M141" s="8"/>
      <c r="N141" s="8"/>
      <c r="O141" s="8">
        <f t="shared" si="16"/>
        <v>1529022</v>
      </c>
      <c r="P141" s="9">
        <v>205585</v>
      </c>
      <c r="Q141" s="11">
        <v>43887</v>
      </c>
      <c r="R141" s="11">
        <v>192</v>
      </c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>
        <f>304*3000</f>
        <v>912000</v>
      </c>
      <c r="AK141" s="11">
        <f t="shared" si="17"/>
        <v>576000</v>
      </c>
      <c r="AL141" s="11"/>
      <c r="AM141" s="9"/>
      <c r="AN141" s="12">
        <f t="shared" si="18"/>
        <v>3222607</v>
      </c>
      <c r="AO141" s="99">
        <f t="shared" si="19"/>
        <v>409497890</v>
      </c>
      <c r="AP141" s="99"/>
      <c r="AQ141" s="55">
        <v>7991210753980</v>
      </c>
      <c r="AR141" s="55">
        <v>23608117600</v>
      </c>
      <c r="AS141" s="55">
        <v>9945053100</v>
      </c>
      <c r="AT141" s="55">
        <v>0</v>
      </c>
      <c r="AU141" s="12">
        <v>3222607</v>
      </c>
      <c r="AV141" s="99">
        <v>409497890</v>
      </c>
    </row>
    <row r="142" spans="1:48">
      <c r="A142" s="5">
        <v>43888</v>
      </c>
      <c r="B142" s="6"/>
      <c r="C142" s="6"/>
      <c r="D142" s="6"/>
      <c r="E142" s="6"/>
      <c r="F142" s="7">
        <f t="shared" si="20"/>
        <v>0</v>
      </c>
      <c r="G142" s="7">
        <f t="shared" si="21"/>
        <v>0</v>
      </c>
      <c r="H142" s="8">
        <v>13109678700</v>
      </c>
      <c r="I142" s="8">
        <v>4228200000</v>
      </c>
      <c r="J142" s="8">
        <f t="shared" si="22"/>
        <v>17337878700</v>
      </c>
      <c r="K142" s="8"/>
      <c r="L142" s="8"/>
      <c r="M142" s="8"/>
      <c r="N142" s="8"/>
      <c r="O142" s="8">
        <f t="shared" si="16"/>
        <v>2418801</v>
      </c>
      <c r="P142" s="9">
        <v>295010</v>
      </c>
      <c r="Q142" s="11">
        <v>43888</v>
      </c>
      <c r="R142" s="11">
        <v>281</v>
      </c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>
        <f>343*3000</f>
        <v>1029000</v>
      </c>
      <c r="AK142" s="11">
        <f t="shared" si="17"/>
        <v>843000</v>
      </c>
      <c r="AL142" s="11"/>
      <c r="AM142" s="9">
        <v>7404050</v>
      </c>
      <c r="AN142" s="12">
        <f t="shared" si="18"/>
        <v>11989861</v>
      </c>
      <c r="AO142" s="99">
        <f t="shared" si="19"/>
        <v>421487751</v>
      </c>
      <c r="AP142" s="99"/>
      <c r="AQ142" s="55">
        <v>8699252554660</v>
      </c>
      <c r="AR142" s="55">
        <v>57624629000</v>
      </c>
      <c r="AS142" s="55">
        <v>17337878700</v>
      </c>
      <c r="AT142" s="55">
        <v>0</v>
      </c>
      <c r="AU142" s="12">
        <v>11989861</v>
      </c>
      <c r="AV142" s="99">
        <v>421487751</v>
      </c>
    </row>
    <row r="143" spans="1:48">
      <c r="A143" s="5">
        <v>43889</v>
      </c>
      <c r="B143" s="6">
        <v>4396366500</v>
      </c>
      <c r="C143" s="6">
        <v>0</v>
      </c>
      <c r="D143" s="6"/>
      <c r="E143" s="6"/>
      <c r="F143" s="7">
        <f t="shared" si="20"/>
        <v>4396366500</v>
      </c>
      <c r="G143" s="7">
        <f t="shared" si="21"/>
        <v>1318910</v>
      </c>
      <c r="H143" s="8">
        <v>10285933900</v>
      </c>
      <c r="I143" s="8"/>
      <c r="J143" s="8">
        <f t="shared" si="22"/>
        <v>10285933900</v>
      </c>
      <c r="K143" s="8"/>
      <c r="L143" s="8"/>
      <c r="M143" s="8"/>
      <c r="N143" s="8"/>
      <c r="O143" s="8">
        <f t="shared" si="16"/>
        <v>1234312</v>
      </c>
      <c r="P143" s="9">
        <v>122585</v>
      </c>
      <c r="Q143" s="11">
        <v>43889</v>
      </c>
      <c r="R143" s="11">
        <v>285</v>
      </c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>
        <f>530*3000*3</f>
        <v>4770000</v>
      </c>
      <c r="AK143" s="11">
        <f t="shared" si="17"/>
        <v>855000</v>
      </c>
      <c r="AL143" s="11"/>
      <c r="AM143" s="9">
        <v>800000</v>
      </c>
      <c r="AN143" s="12">
        <f t="shared" si="18"/>
        <v>9100807</v>
      </c>
      <c r="AO143" s="99">
        <f t="shared" si="19"/>
        <v>430588558</v>
      </c>
      <c r="AP143" s="99"/>
      <c r="AQ143" s="55">
        <v>11521616966426</v>
      </c>
      <c r="AR143" s="55">
        <v>93006645000</v>
      </c>
      <c r="AS143" s="55">
        <v>20000565300</v>
      </c>
      <c r="AT143" s="55">
        <v>0</v>
      </c>
      <c r="AU143" s="12">
        <v>9100807</v>
      </c>
      <c r="AV143" s="99">
        <v>430588558</v>
      </c>
    </row>
    <row r="144" spans="1:48" ht="15" customHeight="1">
      <c r="A144" s="28">
        <v>43892</v>
      </c>
      <c r="B144" s="29">
        <v>0</v>
      </c>
      <c r="C144" s="29">
        <v>0</v>
      </c>
      <c r="D144" s="30"/>
      <c r="E144" s="30"/>
      <c r="F144" s="30">
        <f t="shared" si="20"/>
        <v>0</v>
      </c>
      <c r="G144" s="30">
        <f t="shared" si="21"/>
        <v>0</v>
      </c>
      <c r="H144" s="31">
        <v>13924675700</v>
      </c>
      <c r="I144" s="31">
        <v>4170900000</v>
      </c>
      <c r="J144" s="32">
        <f t="shared" si="22"/>
        <v>18095575700</v>
      </c>
      <c r="K144" s="31"/>
      <c r="L144" s="32"/>
      <c r="M144" s="32"/>
      <c r="N144" s="32"/>
      <c r="O144" s="32">
        <f t="shared" si="16"/>
        <v>2505141</v>
      </c>
      <c r="P144" s="33">
        <f>150590*0.5</f>
        <v>75295</v>
      </c>
      <c r="Q144" s="34">
        <v>43892</v>
      </c>
      <c r="R144" s="34">
        <f>245+53</f>
        <v>298</v>
      </c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>
        <f>778*3000</f>
        <v>2334000</v>
      </c>
      <c r="AK144" s="34">
        <f t="shared" si="17"/>
        <v>894000</v>
      </c>
      <c r="AL144" s="33"/>
      <c r="AM144" s="33"/>
      <c r="AN144" s="12">
        <f t="shared" si="18"/>
        <v>5808436</v>
      </c>
      <c r="AO144" s="99">
        <f t="shared" si="19"/>
        <v>436396994</v>
      </c>
      <c r="AQ144" s="55">
        <v>9731119689188</v>
      </c>
      <c r="AR144" s="55">
        <v>80694619800</v>
      </c>
      <c r="AS144" s="55">
        <v>18588793500</v>
      </c>
      <c r="AT144" s="55">
        <v>0</v>
      </c>
      <c r="AU144" s="12">
        <v>5808436</v>
      </c>
      <c r="AV144" s="99">
        <v>436396994</v>
      </c>
    </row>
    <row r="145" spans="1:48" ht="15" customHeight="1">
      <c r="A145" s="28">
        <v>43893</v>
      </c>
      <c r="B145" s="29">
        <v>0</v>
      </c>
      <c r="C145" s="29">
        <v>0</v>
      </c>
      <c r="D145" s="29"/>
      <c r="E145" s="29"/>
      <c r="F145" s="29">
        <v>0</v>
      </c>
      <c r="G145" s="29">
        <f t="shared" si="21"/>
        <v>0</v>
      </c>
      <c r="H145" s="31">
        <v>1705545100</v>
      </c>
      <c r="I145" s="31">
        <v>0</v>
      </c>
      <c r="J145" s="32">
        <f t="shared" si="22"/>
        <v>1705545100</v>
      </c>
      <c r="K145" s="31"/>
      <c r="L145" s="31"/>
      <c r="M145" s="31"/>
      <c r="N145" s="31"/>
      <c r="O145" s="31">
        <f t="shared" si="16"/>
        <v>204665</v>
      </c>
      <c r="P145" s="33">
        <f>121890*0.5</f>
        <v>60945</v>
      </c>
      <c r="Q145" s="34">
        <v>43893</v>
      </c>
      <c r="R145" s="34">
        <v>120</v>
      </c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>
        <f>678*3000</f>
        <v>2034000</v>
      </c>
      <c r="AK145" s="34">
        <f t="shared" si="17"/>
        <v>360000</v>
      </c>
      <c r="AL145" s="33"/>
      <c r="AM145" s="33"/>
      <c r="AN145" s="12">
        <f t="shared" si="18"/>
        <v>2659610</v>
      </c>
      <c r="AO145" s="99">
        <f t="shared" si="19"/>
        <v>439056604</v>
      </c>
      <c r="AQ145" s="55">
        <v>10616319096000</v>
      </c>
      <c r="AR145" s="55">
        <v>60532164800</v>
      </c>
      <c r="AS145" s="55">
        <v>1712565100</v>
      </c>
      <c r="AT145" s="55">
        <v>0</v>
      </c>
      <c r="AU145" s="12">
        <v>2659610</v>
      </c>
      <c r="AV145" s="99">
        <v>439056604</v>
      </c>
    </row>
    <row r="146" spans="1:48" ht="15" customHeight="1">
      <c r="A146" s="28">
        <v>43894</v>
      </c>
      <c r="B146" s="29">
        <v>0</v>
      </c>
      <c r="C146" s="29">
        <v>0</v>
      </c>
      <c r="D146" s="29"/>
      <c r="E146" s="29"/>
      <c r="F146" s="29">
        <f t="shared" ref="F146:F209" si="23">B146+C146</f>
        <v>0</v>
      </c>
      <c r="G146" s="29">
        <f t="shared" si="21"/>
        <v>0</v>
      </c>
      <c r="H146" s="31">
        <v>11293065200</v>
      </c>
      <c r="I146" s="31"/>
      <c r="J146" s="32">
        <f t="shared" si="22"/>
        <v>11293065200</v>
      </c>
      <c r="K146" s="31"/>
      <c r="L146" s="31"/>
      <c r="M146" s="31"/>
      <c r="N146" s="31"/>
      <c r="O146" s="31">
        <f t="shared" si="16"/>
        <v>1355168</v>
      </c>
      <c r="P146" s="33">
        <f>336710*0.5</f>
        <v>168355</v>
      </c>
      <c r="Q146" s="34">
        <v>43894</v>
      </c>
      <c r="R146" s="34">
        <v>155</v>
      </c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>
        <f>681*3000</f>
        <v>2043000</v>
      </c>
      <c r="AK146" s="34">
        <f t="shared" si="17"/>
        <v>465000</v>
      </c>
      <c r="AL146" s="33"/>
      <c r="AM146" s="33"/>
      <c r="AN146" s="12">
        <f t="shared" si="18"/>
        <v>4031523</v>
      </c>
      <c r="AO146" s="99">
        <f t="shared" si="19"/>
        <v>443088127</v>
      </c>
      <c r="AQ146" s="55">
        <v>10536275815236</v>
      </c>
      <c r="AR146" s="55">
        <v>107559451400</v>
      </c>
      <c r="AS146" s="55">
        <v>11709661300</v>
      </c>
      <c r="AT146" s="55">
        <v>0</v>
      </c>
      <c r="AU146" s="12">
        <v>4031523</v>
      </c>
      <c r="AV146" s="99">
        <v>443088127</v>
      </c>
    </row>
    <row r="147" spans="1:48" ht="15" customHeight="1" thickBot="1">
      <c r="A147" s="28">
        <v>43895</v>
      </c>
      <c r="B147" s="29">
        <v>0</v>
      </c>
      <c r="C147" s="29">
        <v>0</v>
      </c>
      <c r="D147" s="29"/>
      <c r="E147" s="29"/>
      <c r="F147" s="29">
        <f t="shared" si="23"/>
        <v>0</v>
      </c>
      <c r="G147" s="29">
        <f t="shared" si="21"/>
        <v>0</v>
      </c>
      <c r="H147" s="31">
        <v>5288927400</v>
      </c>
      <c r="I147" s="31"/>
      <c r="J147" s="31">
        <f t="shared" si="22"/>
        <v>5288927400</v>
      </c>
      <c r="K147" s="31"/>
      <c r="L147" s="31"/>
      <c r="M147" s="31"/>
      <c r="N147" s="31"/>
      <c r="O147" s="31">
        <f t="shared" si="16"/>
        <v>634671</v>
      </c>
      <c r="P147" s="33">
        <f>367300*0.5</f>
        <v>183650</v>
      </c>
      <c r="Q147" s="34">
        <v>43895</v>
      </c>
      <c r="R147" s="34">
        <v>114</v>
      </c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>
        <f>583*3000</f>
        <v>1749000</v>
      </c>
      <c r="AK147" s="34">
        <f t="shared" si="17"/>
        <v>342000</v>
      </c>
      <c r="AL147" s="33"/>
      <c r="AM147" s="33"/>
      <c r="AN147" s="12">
        <f t="shared" si="18"/>
        <v>2909321</v>
      </c>
      <c r="AO147" s="99">
        <f t="shared" si="19"/>
        <v>445997448</v>
      </c>
      <c r="AQ147" s="55">
        <v>10328498566320</v>
      </c>
      <c r="AR147" s="55">
        <v>13963546400</v>
      </c>
      <c r="AS147" s="55">
        <v>5288927400</v>
      </c>
      <c r="AT147" s="55">
        <v>0</v>
      </c>
      <c r="AU147" s="12">
        <v>2909321</v>
      </c>
      <c r="AV147" s="99">
        <v>445997448</v>
      </c>
    </row>
    <row r="148" spans="1:48" ht="15" customHeight="1">
      <c r="A148" s="35">
        <v>43896</v>
      </c>
      <c r="B148" s="36">
        <v>0</v>
      </c>
      <c r="C148" s="36">
        <v>0</v>
      </c>
      <c r="D148" s="36"/>
      <c r="E148" s="36"/>
      <c r="F148" s="36">
        <f t="shared" si="23"/>
        <v>0</v>
      </c>
      <c r="G148" s="36">
        <f t="shared" si="21"/>
        <v>0</v>
      </c>
      <c r="H148" s="37">
        <v>12425568400</v>
      </c>
      <c r="I148" s="37">
        <v>2761600000</v>
      </c>
      <c r="J148" s="37">
        <f t="shared" si="22"/>
        <v>15187168400</v>
      </c>
      <c r="K148" s="37"/>
      <c r="L148" s="37"/>
      <c r="M148" s="37"/>
      <c r="N148" s="37"/>
      <c r="O148" s="37">
        <f t="shared" si="16"/>
        <v>2043388</v>
      </c>
      <c r="P148" s="38">
        <f>804050*0.5</f>
        <v>402025</v>
      </c>
      <c r="Q148" s="39">
        <v>43896</v>
      </c>
      <c r="R148" s="39">
        <v>358</v>
      </c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>
        <f>509*3000*3</f>
        <v>4581000</v>
      </c>
      <c r="AK148" s="39">
        <f t="shared" si="17"/>
        <v>1074000</v>
      </c>
      <c r="AL148" s="38"/>
      <c r="AM148" s="38"/>
      <c r="AN148" s="12">
        <f t="shared" si="18"/>
        <v>8100413</v>
      </c>
      <c r="AO148" s="99">
        <f t="shared" si="19"/>
        <v>454097861</v>
      </c>
      <c r="AQ148" s="55">
        <v>9642214410800</v>
      </c>
      <c r="AR148" s="55">
        <v>48287616000</v>
      </c>
      <c r="AS148" s="55">
        <v>15187168400</v>
      </c>
      <c r="AT148" s="55">
        <v>0</v>
      </c>
      <c r="AU148" s="12">
        <v>8100413</v>
      </c>
      <c r="AV148" s="99">
        <v>454097861</v>
      </c>
    </row>
    <row r="149" spans="1:48" ht="15" customHeight="1">
      <c r="A149" s="28">
        <v>43899</v>
      </c>
      <c r="B149" s="30">
        <v>0</v>
      </c>
      <c r="C149" s="30">
        <v>0</v>
      </c>
      <c r="D149" s="30"/>
      <c r="E149" s="30"/>
      <c r="F149" s="30">
        <f t="shared" si="23"/>
        <v>0</v>
      </c>
      <c r="G149" s="30">
        <f t="shared" si="21"/>
        <v>0</v>
      </c>
      <c r="H149" s="31">
        <v>5971315400</v>
      </c>
      <c r="I149" s="31">
        <v>3909600000</v>
      </c>
      <c r="J149" s="32">
        <f t="shared" si="22"/>
        <v>9880915400</v>
      </c>
      <c r="K149" s="31"/>
      <c r="L149" s="32"/>
      <c r="M149" s="32"/>
      <c r="N149" s="32"/>
      <c r="O149" s="32">
        <f t="shared" si="16"/>
        <v>1498478</v>
      </c>
      <c r="P149" s="33">
        <f>567910*0.5</f>
        <v>283955</v>
      </c>
      <c r="Q149" s="34">
        <v>43899</v>
      </c>
      <c r="R149" s="34">
        <v>250</v>
      </c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>
        <f>433*3000</f>
        <v>1299000</v>
      </c>
      <c r="AK149" s="34">
        <f t="shared" si="17"/>
        <v>750000</v>
      </c>
      <c r="AL149" s="33"/>
      <c r="AM149" s="33"/>
      <c r="AN149" s="12">
        <f t="shared" si="18"/>
        <v>3831433</v>
      </c>
      <c r="AO149" s="99">
        <f t="shared" si="19"/>
        <v>457929294</v>
      </c>
      <c r="AQ149" s="55">
        <v>13723689952590</v>
      </c>
      <c r="AR149" s="55">
        <v>47731141600</v>
      </c>
      <c r="AS149" s="55">
        <v>9880915400</v>
      </c>
      <c r="AT149" s="55">
        <v>0</v>
      </c>
      <c r="AU149" s="12">
        <v>3831433</v>
      </c>
      <c r="AV149" s="99">
        <v>457929294</v>
      </c>
    </row>
    <row r="150" spans="1:48" ht="15" customHeight="1">
      <c r="A150" s="28">
        <v>43900</v>
      </c>
      <c r="B150" s="30">
        <v>0</v>
      </c>
      <c r="C150" s="30">
        <v>0</v>
      </c>
      <c r="D150" s="30"/>
      <c r="E150" s="30"/>
      <c r="F150" s="30">
        <f t="shared" si="23"/>
        <v>0</v>
      </c>
      <c r="G150" s="30">
        <f t="shared" si="21"/>
        <v>0</v>
      </c>
      <c r="H150" s="31">
        <v>26074677100</v>
      </c>
      <c r="I150" s="31">
        <v>29755500000</v>
      </c>
      <c r="J150" s="31">
        <v>55830177100</v>
      </c>
      <c r="K150" s="31"/>
      <c r="L150" s="32"/>
      <c r="M150" s="32"/>
      <c r="N150" s="32"/>
      <c r="O150" s="32">
        <f t="shared" si="16"/>
        <v>9080061</v>
      </c>
      <c r="P150" s="33">
        <v>500000</v>
      </c>
      <c r="Q150" s="34">
        <v>43900</v>
      </c>
      <c r="R150" s="34">
        <v>769</v>
      </c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>
        <f>602*3000</f>
        <v>1806000</v>
      </c>
      <c r="AK150" s="34">
        <f t="shared" si="17"/>
        <v>2307000</v>
      </c>
      <c r="AL150" s="33"/>
      <c r="AM150" s="33">
        <v>7404050</v>
      </c>
      <c r="AN150" s="12">
        <f t="shared" si="18"/>
        <v>21097111</v>
      </c>
      <c r="AO150" s="99">
        <f t="shared" si="19"/>
        <v>479026405</v>
      </c>
      <c r="AQ150" s="55">
        <v>12219919234576</v>
      </c>
      <c r="AR150" s="55">
        <v>395578658600</v>
      </c>
      <c r="AS150" s="55">
        <v>60771054500</v>
      </c>
      <c r="AT150" s="55">
        <v>0</v>
      </c>
      <c r="AU150" s="12">
        <v>21097111</v>
      </c>
      <c r="AV150" s="99">
        <v>479026405</v>
      </c>
    </row>
    <row r="151" spans="1:48" ht="15" customHeight="1">
      <c r="A151" s="28">
        <v>43901</v>
      </c>
      <c r="B151" s="30">
        <v>0</v>
      </c>
      <c r="C151" s="30">
        <v>0</v>
      </c>
      <c r="D151" s="30"/>
      <c r="E151" s="30"/>
      <c r="F151" s="30">
        <f t="shared" si="23"/>
        <v>0</v>
      </c>
      <c r="G151" s="30">
        <f t="shared" si="21"/>
        <v>0</v>
      </c>
      <c r="H151" s="31">
        <v>10189468100</v>
      </c>
      <c r="I151" s="31">
        <v>6520500000</v>
      </c>
      <c r="J151" s="31">
        <f>H151+I151</f>
        <v>16709968100</v>
      </c>
      <c r="K151" s="31"/>
      <c r="L151" s="31"/>
      <c r="M151" s="31"/>
      <c r="N151" s="31"/>
      <c r="O151" s="31">
        <f t="shared" si="16"/>
        <v>2526836</v>
      </c>
      <c r="P151" s="33">
        <f>790000*0.5</f>
        <v>395000</v>
      </c>
      <c r="Q151" s="34">
        <v>43901</v>
      </c>
      <c r="R151" s="34">
        <v>566</v>
      </c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>
        <f>554*3000</f>
        <v>1662000</v>
      </c>
      <c r="AK151" s="34">
        <f t="shared" si="17"/>
        <v>1698000</v>
      </c>
      <c r="AL151" s="33"/>
      <c r="AM151" s="33"/>
      <c r="AN151" s="12">
        <f t="shared" si="18"/>
        <v>6281836</v>
      </c>
      <c r="AO151" s="99">
        <f t="shared" si="19"/>
        <v>485308241</v>
      </c>
      <c r="AQ151" s="55">
        <v>13263264145200</v>
      </c>
      <c r="AR151" s="55">
        <v>150632230400</v>
      </c>
      <c r="AS151" s="55">
        <v>16709968100</v>
      </c>
      <c r="AT151" s="55">
        <v>0</v>
      </c>
      <c r="AU151" s="12">
        <v>6281836</v>
      </c>
      <c r="AV151" s="99">
        <v>485308241</v>
      </c>
    </row>
    <row r="152" spans="1:48" ht="15" customHeight="1" thickBot="1">
      <c r="A152" s="28">
        <v>43902</v>
      </c>
      <c r="B152" s="30">
        <v>0</v>
      </c>
      <c r="C152" s="30">
        <v>0</v>
      </c>
      <c r="D152" s="30"/>
      <c r="E152" s="30"/>
      <c r="F152" s="30">
        <f t="shared" si="23"/>
        <v>0</v>
      </c>
      <c r="G152" s="30">
        <f t="shared" si="21"/>
        <v>0</v>
      </c>
      <c r="H152" s="31">
        <v>3295125700</v>
      </c>
      <c r="I152" s="31">
        <v>0</v>
      </c>
      <c r="J152" s="31">
        <f>H152+I152</f>
        <v>3295125700</v>
      </c>
      <c r="K152" s="31"/>
      <c r="L152" s="31"/>
      <c r="M152" s="31"/>
      <c r="N152" s="31"/>
      <c r="O152" s="31">
        <f t="shared" si="16"/>
        <v>395415</v>
      </c>
      <c r="P152" s="33">
        <f>192020*0.5</f>
        <v>96010</v>
      </c>
      <c r="Q152" s="34">
        <v>43902</v>
      </c>
      <c r="R152" s="34">
        <v>180</v>
      </c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>
        <f>536*3000</f>
        <v>1608000</v>
      </c>
      <c r="AK152" s="34">
        <f t="shared" si="17"/>
        <v>540000</v>
      </c>
      <c r="AL152" s="33"/>
      <c r="AM152" s="33"/>
      <c r="AN152" s="12">
        <f t="shared" si="18"/>
        <v>2639425</v>
      </c>
      <c r="AO152" s="99">
        <f t="shared" si="19"/>
        <v>487947666</v>
      </c>
      <c r="AQ152" s="55">
        <v>13068062608952</v>
      </c>
      <c r="AR152" s="55">
        <v>71946400800</v>
      </c>
      <c r="AS152" s="55">
        <v>5776300700</v>
      </c>
      <c r="AT152" s="55">
        <v>0</v>
      </c>
      <c r="AU152" s="12">
        <v>2639425</v>
      </c>
      <c r="AV152" s="99">
        <v>487947666</v>
      </c>
    </row>
    <row r="153" spans="1:48" ht="15" customHeight="1">
      <c r="A153" s="35">
        <v>43903</v>
      </c>
      <c r="B153" s="36">
        <v>4102760900</v>
      </c>
      <c r="C153" s="36">
        <v>1596455500</v>
      </c>
      <c r="D153" s="36"/>
      <c r="E153" s="36"/>
      <c r="F153" s="36">
        <f t="shared" si="23"/>
        <v>5699216400</v>
      </c>
      <c r="G153" s="36">
        <f t="shared" si="21"/>
        <v>1709765</v>
      </c>
      <c r="H153" s="37">
        <v>16182915900</v>
      </c>
      <c r="I153" s="37">
        <v>0</v>
      </c>
      <c r="J153" s="37">
        <f>H153+I153</f>
        <v>16182915900</v>
      </c>
      <c r="K153" s="37"/>
      <c r="L153" s="37"/>
      <c r="M153" s="37"/>
      <c r="N153" s="37"/>
      <c r="O153" s="37">
        <f t="shared" si="16"/>
        <v>1941950</v>
      </c>
      <c r="P153" s="38">
        <f>1109160*0.5</f>
        <v>554580</v>
      </c>
      <c r="Q153" s="39">
        <v>43903</v>
      </c>
      <c r="R153" s="39">
        <v>546</v>
      </c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>
        <f>356*3000*3</f>
        <v>3204000</v>
      </c>
      <c r="AK153" s="39">
        <f t="shared" si="17"/>
        <v>1638000</v>
      </c>
      <c r="AL153" s="38"/>
      <c r="AM153" s="38">
        <v>600000</v>
      </c>
      <c r="AN153" s="12">
        <f t="shared" si="18"/>
        <v>9648295</v>
      </c>
      <c r="AO153" s="99">
        <f t="shared" si="19"/>
        <v>497595961</v>
      </c>
      <c r="AQ153" s="55">
        <v>14770351804820</v>
      </c>
      <c r="AR153" s="55">
        <v>106944743200</v>
      </c>
      <c r="AS153" s="55">
        <v>26489889500</v>
      </c>
      <c r="AT153" s="55">
        <v>0</v>
      </c>
      <c r="AU153" s="12">
        <v>9648295</v>
      </c>
      <c r="AV153" s="99">
        <v>497595961</v>
      </c>
    </row>
    <row r="154" spans="1:48" ht="15" customHeight="1">
      <c r="A154" s="28">
        <v>43906</v>
      </c>
      <c r="B154" s="29">
        <v>0</v>
      </c>
      <c r="C154" s="29">
        <v>0</v>
      </c>
      <c r="D154" s="29"/>
      <c r="E154" s="29"/>
      <c r="F154" s="29">
        <f t="shared" si="23"/>
        <v>0</v>
      </c>
      <c r="G154" s="29">
        <f t="shared" si="21"/>
        <v>0</v>
      </c>
      <c r="H154" s="31">
        <v>18573636000</v>
      </c>
      <c r="I154" s="31">
        <v>5801500000</v>
      </c>
      <c r="J154" s="32">
        <f>H154+I154</f>
        <v>24375136000</v>
      </c>
      <c r="K154" s="31"/>
      <c r="L154" s="32"/>
      <c r="M154" s="32"/>
      <c r="N154" s="32"/>
      <c r="O154" s="32">
        <f t="shared" si="16"/>
        <v>3389136</v>
      </c>
      <c r="P154" s="33">
        <v>500000</v>
      </c>
      <c r="Q154" s="34">
        <v>43906</v>
      </c>
      <c r="R154" s="34">
        <v>439</v>
      </c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>
        <f>209*3000</f>
        <v>627000</v>
      </c>
      <c r="AK154" s="34">
        <f t="shared" si="17"/>
        <v>1317000</v>
      </c>
      <c r="AL154" s="33"/>
      <c r="AM154" s="33"/>
      <c r="AN154" s="12">
        <f t="shared" si="18"/>
        <v>5833136</v>
      </c>
      <c r="AO154" s="99">
        <f t="shared" si="19"/>
        <v>503429097</v>
      </c>
      <c r="AQ154" s="55">
        <v>10764899804774</v>
      </c>
      <c r="AR154" s="55">
        <v>101587480000</v>
      </c>
      <c r="AS154" s="55">
        <v>28665609600</v>
      </c>
      <c r="AT154" s="55">
        <v>0</v>
      </c>
      <c r="AU154" s="12">
        <v>5833136</v>
      </c>
      <c r="AV154" s="99">
        <v>503429097</v>
      </c>
    </row>
    <row r="155" spans="1:48" ht="15" customHeight="1">
      <c r="A155" s="28">
        <v>43907</v>
      </c>
      <c r="B155" s="29">
        <v>344848000</v>
      </c>
      <c r="C155" s="29">
        <v>0</v>
      </c>
      <c r="D155" s="29"/>
      <c r="E155" s="29"/>
      <c r="F155" s="29">
        <f t="shared" si="23"/>
        <v>344848000</v>
      </c>
      <c r="G155" s="29">
        <f t="shared" si="21"/>
        <v>103454</v>
      </c>
      <c r="H155" s="31">
        <v>16094838300</v>
      </c>
      <c r="I155" s="31">
        <v>22679500000</v>
      </c>
      <c r="J155" s="32">
        <f>I155+H155</f>
        <v>38774338300</v>
      </c>
      <c r="K155" s="31"/>
      <c r="L155" s="32"/>
      <c r="M155" s="32"/>
      <c r="N155" s="32"/>
      <c r="O155" s="32">
        <f t="shared" si="16"/>
        <v>6467281</v>
      </c>
      <c r="P155" s="33">
        <f>411070*0.5</f>
        <v>205535</v>
      </c>
      <c r="Q155" s="34">
        <v>43907</v>
      </c>
      <c r="R155" s="34">
        <v>901</v>
      </c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>
        <f>690*3000</f>
        <v>2070000</v>
      </c>
      <c r="AK155" s="34">
        <f t="shared" si="17"/>
        <v>2703000</v>
      </c>
      <c r="AL155" s="33"/>
      <c r="AM155" s="33"/>
      <c r="AN155" s="12">
        <f t="shared" si="18"/>
        <v>11549270</v>
      </c>
      <c r="AO155" s="99">
        <f t="shared" si="19"/>
        <v>514978367</v>
      </c>
      <c r="AQ155" s="55">
        <v>10391341067720</v>
      </c>
      <c r="AR155" s="55">
        <v>229797987200</v>
      </c>
      <c r="AS155" s="55">
        <v>39574189300</v>
      </c>
      <c r="AT155" s="55">
        <v>0</v>
      </c>
      <c r="AU155" s="12">
        <v>11549270</v>
      </c>
      <c r="AV155" s="99">
        <v>514978367</v>
      </c>
    </row>
    <row r="156" spans="1:48" ht="15" customHeight="1">
      <c r="A156" s="28">
        <v>43908</v>
      </c>
      <c r="B156" s="29">
        <v>0</v>
      </c>
      <c r="C156" s="29">
        <v>0</v>
      </c>
      <c r="D156" s="29"/>
      <c r="E156" s="29"/>
      <c r="F156" s="29">
        <f t="shared" si="23"/>
        <v>0</v>
      </c>
      <c r="G156" s="29">
        <f t="shared" si="21"/>
        <v>0</v>
      </c>
      <c r="H156" s="31">
        <v>1864561600</v>
      </c>
      <c r="I156" s="40">
        <v>5830000000</v>
      </c>
      <c r="J156" s="32">
        <f>I156+H156</f>
        <v>7694561600</v>
      </c>
      <c r="K156" s="31"/>
      <c r="L156" s="32"/>
      <c r="M156" s="32"/>
      <c r="N156" s="32"/>
      <c r="O156" s="32">
        <f t="shared" si="16"/>
        <v>1389747</v>
      </c>
      <c r="P156" s="33">
        <f>130000*0.5</f>
        <v>65000</v>
      </c>
      <c r="Q156" s="34">
        <v>43908</v>
      </c>
      <c r="R156" s="34">
        <v>135</v>
      </c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>
        <f>757*3000</f>
        <v>2271000</v>
      </c>
      <c r="AK156" s="34">
        <f t="shared" si="17"/>
        <v>405000</v>
      </c>
      <c r="AL156" s="33"/>
      <c r="AM156" s="33"/>
      <c r="AN156" s="12">
        <f t="shared" si="18"/>
        <v>4130747</v>
      </c>
      <c r="AO156" s="99">
        <f t="shared" si="19"/>
        <v>519109114</v>
      </c>
      <c r="AQ156" s="55">
        <v>10126644771640</v>
      </c>
      <c r="AR156" s="55">
        <v>118056670000</v>
      </c>
      <c r="AS156" s="55">
        <v>8301159900</v>
      </c>
      <c r="AT156" s="55">
        <v>0</v>
      </c>
      <c r="AU156" s="12">
        <v>4130747</v>
      </c>
      <c r="AV156" s="99">
        <v>519109114</v>
      </c>
    </row>
    <row r="157" spans="1:48" ht="15" customHeight="1" thickBot="1">
      <c r="A157" s="28">
        <v>43909</v>
      </c>
      <c r="B157" s="29">
        <v>7453964100</v>
      </c>
      <c r="C157" s="29">
        <v>2791819500</v>
      </c>
      <c r="D157" s="29"/>
      <c r="E157" s="29"/>
      <c r="F157" s="29">
        <f t="shared" si="23"/>
        <v>10245783600</v>
      </c>
      <c r="G157" s="29">
        <f t="shared" ref="G157:G220" si="24">ROUND(F157*0.027%,0)</f>
        <v>2766362</v>
      </c>
      <c r="H157" s="31">
        <v>0</v>
      </c>
      <c r="I157" s="31">
        <v>12335500000</v>
      </c>
      <c r="J157" s="32">
        <f>I157+H157</f>
        <v>12335500000</v>
      </c>
      <c r="K157" s="31"/>
      <c r="L157" s="31"/>
      <c r="M157" s="31"/>
      <c r="N157" s="31"/>
      <c r="O157" s="31">
        <f t="shared" ref="O157:O195" si="25">ROUND(H157*0.0108%+I157*0.018%+K157*0.018%,0)</f>
        <v>2220390</v>
      </c>
      <c r="P157" s="33">
        <f>225340*0.3</f>
        <v>67602</v>
      </c>
      <c r="Q157" s="34">
        <v>43909</v>
      </c>
      <c r="R157" s="34">
        <v>1030</v>
      </c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>
        <f>(739+168)*3000</f>
        <v>2721000</v>
      </c>
      <c r="AK157" s="34">
        <f t="shared" si="17"/>
        <v>3090000</v>
      </c>
      <c r="AL157" s="33"/>
      <c r="AM157" s="33">
        <v>600000</v>
      </c>
      <c r="AN157" s="12">
        <f t="shared" si="18"/>
        <v>11465354</v>
      </c>
      <c r="AO157" s="99">
        <f t="shared" si="19"/>
        <v>530574468</v>
      </c>
      <c r="AQ157" s="55">
        <v>9894389801194</v>
      </c>
      <c r="AR157" s="55">
        <v>177911766400</v>
      </c>
      <c r="AS157" s="55">
        <v>14816319000</v>
      </c>
      <c r="AT157" s="55">
        <v>0</v>
      </c>
      <c r="AU157" s="12">
        <v>11465354</v>
      </c>
      <c r="AV157" s="99">
        <v>530574468</v>
      </c>
    </row>
    <row r="158" spans="1:48" ht="14.25" customHeight="1">
      <c r="A158" s="35">
        <v>43910</v>
      </c>
      <c r="B158" s="36">
        <v>0</v>
      </c>
      <c r="C158" s="36">
        <v>0</v>
      </c>
      <c r="D158" s="36"/>
      <c r="E158" s="36"/>
      <c r="F158" s="36">
        <f t="shared" si="23"/>
        <v>0</v>
      </c>
      <c r="G158" s="36">
        <f t="shared" si="24"/>
        <v>0</v>
      </c>
      <c r="H158" s="37">
        <v>7675107700</v>
      </c>
      <c r="I158" s="37">
        <v>0</v>
      </c>
      <c r="J158" s="37">
        <f t="shared" ref="J158:J163" si="26">H158+I158</f>
        <v>7675107700</v>
      </c>
      <c r="K158" s="37"/>
      <c r="L158" s="37"/>
      <c r="M158" s="37"/>
      <c r="N158" s="37"/>
      <c r="O158" s="37">
        <f t="shared" si="25"/>
        <v>828912</v>
      </c>
      <c r="P158" s="38">
        <f>584870*0.3</f>
        <v>175461</v>
      </c>
      <c r="Q158" s="39">
        <v>43910</v>
      </c>
      <c r="R158" s="39">
        <v>152</v>
      </c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>
        <f>697*2550*3</f>
        <v>5332050</v>
      </c>
      <c r="AK158" s="39">
        <f t="shared" ref="AK158:AK166" si="27">R158*2700</f>
        <v>410400</v>
      </c>
      <c r="AL158" s="38"/>
      <c r="AM158" s="38"/>
      <c r="AN158" s="12">
        <f t="shared" si="18"/>
        <v>6746823</v>
      </c>
      <c r="AO158" s="99">
        <f t="shared" si="19"/>
        <v>537321291</v>
      </c>
      <c r="AQ158" s="55">
        <v>9832555387396</v>
      </c>
      <c r="AR158" s="55">
        <v>40435975200</v>
      </c>
      <c r="AS158" s="55">
        <v>8516068200</v>
      </c>
      <c r="AT158" s="55">
        <v>0</v>
      </c>
      <c r="AU158" s="12">
        <v>6746823</v>
      </c>
      <c r="AV158" s="99">
        <v>537321291</v>
      </c>
    </row>
    <row r="159" spans="1:48" ht="14.25" customHeight="1">
      <c r="A159" s="41">
        <v>43913</v>
      </c>
      <c r="B159" s="30">
        <v>0</v>
      </c>
      <c r="C159" s="30">
        <v>0</v>
      </c>
      <c r="D159" s="30"/>
      <c r="E159" s="30"/>
      <c r="F159" s="30">
        <f t="shared" si="23"/>
        <v>0</v>
      </c>
      <c r="G159" s="30">
        <f t="shared" si="24"/>
        <v>0</v>
      </c>
      <c r="H159" s="31">
        <v>11605024000</v>
      </c>
      <c r="I159" s="31">
        <v>3183500000</v>
      </c>
      <c r="J159" s="32">
        <f t="shared" si="26"/>
        <v>14788524000</v>
      </c>
      <c r="K159" s="31"/>
      <c r="L159" s="32"/>
      <c r="M159" s="32"/>
      <c r="N159" s="32"/>
      <c r="O159" s="32">
        <f t="shared" si="25"/>
        <v>1826373</v>
      </c>
      <c r="P159" s="33">
        <v>300000</v>
      </c>
      <c r="Q159" s="42">
        <v>43913</v>
      </c>
      <c r="R159" s="34">
        <v>242</v>
      </c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>
        <f>565*2550</f>
        <v>1440750</v>
      </c>
      <c r="AK159" s="42">
        <f t="shared" si="27"/>
        <v>653400</v>
      </c>
      <c r="AL159" s="33"/>
      <c r="AM159" s="33"/>
      <c r="AN159" s="12">
        <f t="shared" si="18"/>
        <v>4220523</v>
      </c>
      <c r="AO159" s="99">
        <f t="shared" si="19"/>
        <v>541541814</v>
      </c>
      <c r="AQ159" s="55">
        <v>11747855518066</v>
      </c>
      <c r="AR159" s="55">
        <v>60221029600</v>
      </c>
      <c r="AS159" s="55">
        <v>17972024000</v>
      </c>
      <c r="AT159" s="55">
        <v>0</v>
      </c>
      <c r="AU159" s="12">
        <v>4220523</v>
      </c>
      <c r="AV159" s="99">
        <v>541541814</v>
      </c>
    </row>
    <row r="160" spans="1:48" ht="15" customHeight="1">
      <c r="A160" s="41">
        <v>43914</v>
      </c>
      <c r="B160" s="30">
        <v>0</v>
      </c>
      <c r="C160" s="30">
        <v>0</v>
      </c>
      <c r="D160" s="30"/>
      <c r="E160" s="30"/>
      <c r="F160" s="30">
        <f t="shared" si="23"/>
        <v>0</v>
      </c>
      <c r="G160" s="30">
        <f t="shared" si="24"/>
        <v>0</v>
      </c>
      <c r="H160" s="31">
        <v>18455340800</v>
      </c>
      <c r="I160" s="31"/>
      <c r="J160" s="32">
        <f t="shared" si="26"/>
        <v>18455340800</v>
      </c>
      <c r="K160" s="31"/>
      <c r="L160" s="32"/>
      <c r="M160" s="32"/>
      <c r="N160" s="32"/>
      <c r="O160" s="32">
        <f t="shared" si="25"/>
        <v>1993177</v>
      </c>
      <c r="P160" s="33">
        <f>892910*0.3</f>
        <v>267873</v>
      </c>
      <c r="Q160" s="42">
        <v>43914</v>
      </c>
      <c r="R160" s="34">
        <v>309</v>
      </c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>
        <f>564*2550</f>
        <v>1438200</v>
      </c>
      <c r="AK160" s="42">
        <f t="shared" si="27"/>
        <v>834300</v>
      </c>
      <c r="AL160" s="33"/>
      <c r="AM160" s="33"/>
      <c r="AN160" s="12">
        <f t="shared" si="18"/>
        <v>4533550</v>
      </c>
      <c r="AO160" s="99">
        <f t="shared" si="19"/>
        <v>546075364</v>
      </c>
      <c r="AQ160" s="55">
        <v>9938331660004</v>
      </c>
      <c r="AR160" s="55">
        <v>100880188800</v>
      </c>
      <c r="AS160" s="55">
        <v>18455445300</v>
      </c>
      <c r="AT160" s="55">
        <v>0</v>
      </c>
      <c r="AU160" s="12">
        <v>4533550</v>
      </c>
      <c r="AV160" s="99">
        <v>546075364</v>
      </c>
    </row>
    <row r="161" spans="1:48" ht="15" customHeight="1">
      <c r="A161" s="41">
        <v>43915</v>
      </c>
      <c r="B161" s="30">
        <v>0</v>
      </c>
      <c r="C161" s="30">
        <v>0</v>
      </c>
      <c r="D161" s="30"/>
      <c r="E161" s="30"/>
      <c r="F161" s="30">
        <f t="shared" si="23"/>
        <v>0</v>
      </c>
      <c r="G161" s="30">
        <f t="shared" si="24"/>
        <v>0</v>
      </c>
      <c r="H161" s="31">
        <v>5133834900</v>
      </c>
      <c r="I161" s="31">
        <v>3109200000</v>
      </c>
      <c r="J161" s="32">
        <f t="shared" si="26"/>
        <v>8243034900</v>
      </c>
      <c r="K161" s="31"/>
      <c r="L161" s="32"/>
      <c r="M161" s="32"/>
      <c r="N161" s="32"/>
      <c r="O161" s="32">
        <f t="shared" si="25"/>
        <v>1114110</v>
      </c>
      <c r="P161" s="33">
        <f>600860*0.3</f>
        <v>180258</v>
      </c>
      <c r="Q161" s="42">
        <v>43915</v>
      </c>
      <c r="R161" s="34">
        <v>136</v>
      </c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>
        <f>492*2550</f>
        <v>1254600</v>
      </c>
      <c r="AK161" s="42">
        <f t="shared" si="27"/>
        <v>367200</v>
      </c>
      <c r="AL161" s="33"/>
      <c r="AM161" s="33"/>
      <c r="AN161" s="12">
        <f t="shared" si="18"/>
        <v>2916168</v>
      </c>
      <c r="AO161" s="99">
        <f t="shared" si="19"/>
        <v>548991532</v>
      </c>
      <c r="AQ161" s="55">
        <v>11223770817216</v>
      </c>
      <c r="AR161" s="55">
        <v>77915891200</v>
      </c>
      <c r="AS161" s="55">
        <v>11653794900</v>
      </c>
      <c r="AT161" s="55">
        <v>0</v>
      </c>
      <c r="AU161" s="12">
        <v>2916168</v>
      </c>
      <c r="AV161" s="99">
        <v>548991532</v>
      </c>
    </row>
    <row r="162" spans="1:48" ht="14.65" customHeight="1" thickBot="1">
      <c r="A162" s="41">
        <v>43916</v>
      </c>
      <c r="B162" s="30">
        <v>0</v>
      </c>
      <c r="C162" s="30">
        <v>0</v>
      </c>
      <c r="D162" s="30"/>
      <c r="E162" s="30"/>
      <c r="F162" s="30">
        <f t="shared" si="23"/>
        <v>0</v>
      </c>
      <c r="G162" s="30">
        <f t="shared" si="24"/>
        <v>0</v>
      </c>
      <c r="H162" s="31">
        <v>13252549600</v>
      </c>
      <c r="I162" s="31">
        <v>11082500000</v>
      </c>
      <c r="J162" s="32">
        <f t="shared" si="26"/>
        <v>24335049600</v>
      </c>
      <c r="K162" s="31"/>
      <c r="L162" s="31"/>
      <c r="M162" s="31"/>
      <c r="N162" s="31"/>
      <c r="O162" s="31">
        <f t="shared" si="25"/>
        <v>3426125</v>
      </c>
      <c r="P162" s="33">
        <v>300000</v>
      </c>
      <c r="Q162" s="42">
        <v>43916</v>
      </c>
      <c r="R162" s="34">
        <v>301</v>
      </c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>
        <f>377*2550</f>
        <v>961350</v>
      </c>
      <c r="AK162" s="34">
        <f t="shared" si="27"/>
        <v>812700</v>
      </c>
      <c r="AL162" s="33"/>
      <c r="AM162" s="33"/>
      <c r="AN162" s="12">
        <f t="shared" si="18"/>
        <v>5500175</v>
      </c>
      <c r="AO162" s="99">
        <f t="shared" si="19"/>
        <v>554491707</v>
      </c>
      <c r="AQ162" s="55">
        <v>9514707291000</v>
      </c>
      <c r="AR162" s="55">
        <v>71780731600</v>
      </c>
      <c r="AS162" s="55">
        <v>24604549600</v>
      </c>
      <c r="AT162" s="55">
        <v>0</v>
      </c>
      <c r="AU162" s="12">
        <v>5500175</v>
      </c>
      <c r="AV162" s="99">
        <v>554491707</v>
      </c>
    </row>
    <row r="163" spans="1:48" ht="14.65" customHeight="1">
      <c r="A163" s="35">
        <v>43917</v>
      </c>
      <c r="B163" s="36">
        <v>0</v>
      </c>
      <c r="C163" s="36">
        <v>0</v>
      </c>
      <c r="D163" s="36"/>
      <c r="E163" s="36"/>
      <c r="F163" s="36">
        <f t="shared" si="23"/>
        <v>0</v>
      </c>
      <c r="G163" s="36">
        <f t="shared" si="24"/>
        <v>0</v>
      </c>
      <c r="H163" s="37">
        <v>13414802200</v>
      </c>
      <c r="I163" s="37">
        <v>0</v>
      </c>
      <c r="J163" s="37">
        <f t="shared" si="26"/>
        <v>13414802200</v>
      </c>
      <c r="K163" s="37"/>
      <c r="L163" s="37"/>
      <c r="M163" s="37"/>
      <c r="N163" s="37"/>
      <c r="O163" s="37">
        <f t="shared" si="25"/>
        <v>1448799</v>
      </c>
      <c r="P163" s="38">
        <v>300000</v>
      </c>
      <c r="Q163" s="39">
        <v>43917</v>
      </c>
      <c r="R163" s="39">
        <v>205</v>
      </c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>
        <f>176*2550*3</f>
        <v>1346400</v>
      </c>
      <c r="AK163" s="39">
        <f t="shared" si="27"/>
        <v>553500</v>
      </c>
      <c r="AL163" s="38"/>
      <c r="AM163" s="38"/>
      <c r="AN163" s="12">
        <f t="shared" si="18"/>
        <v>3648699</v>
      </c>
      <c r="AO163" s="99">
        <f t="shared" si="19"/>
        <v>558140406</v>
      </c>
      <c r="AQ163" s="55">
        <v>10228847500272</v>
      </c>
      <c r="AR163" s="55">
        <v>146564422200</v>
      </c>
      <c r="AS163" s="55">
        <v>13414909000</v>
      </c>
      <c r="AT163" s="55">
        <v>0</v>
      </c>
      <c r="AU163" s="12">
        <v>3648699</v>
      </c>
      <c r="AV163" s="99">
        <v>558140406</v>
      </c>
    </row>
    <row r="164" spans="1:48" ht="14.65" customHeight="1">
      <c r="A164" s="41">
        <v>43920</v>
      </c>
      <c r="B164" s="30">
        <v>0</v>
      </c>
      <c r="C164" s="30">
        <v>0</v>
      </c>
      <c r="D164" s="30"/>
      <c r="E164" s="30"/>
      <c r="F164" s="30">
        <f t="shared" si="23"/>
        <v>0</v>
      </c>
      <c r="G164" s="30">
        <f t="shared" si="24"/>
        <v>0</v>
      </c>
      <c r="H164" s="31">
        <f>J164-I164</f>
        <v>304401500</v>
      </c>
      <c r="I164" s="31">
        <v>6092900000</v>
      </c>
      <c r="J164" s="31">
        <v>6397301500</v>
      </c>
      <c r="K164" s="31"/>
      <c r="L164" s="31"/>
      <c r="M164" s="31"/>
      <c r="N164" s="31"/>
      <c r="O164" s="31">
        <f t="shared" si="25"/>
        <v>1129597</v>
      </c>
      <c r="P164" s="33">
        <f>230000*0.3</f>
        <v>69000</v>
      </c>
      <c r="Q164" s="42">
        <v>43920</v>
      </c>
      <c r="R164" s="34">
        <v>14</v>
      </c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>
        <f>176*2550</f>
        <v>448800</v>
      </c>
      <c r="AK164" s="34">
        <f t="shared" si="27"/>
        <v>37800</v>
      </c>
      <c r="AL164" s="33"/>
      <c r="AM164" s="33"/>
      <c r="AN164" s="12">
        <f t="shared" si="18"/>
        <v>1685197</v>
      </c>
      <c r="AO164" s="99">
        <f t="shared" si="19"/>
        <v>559825603</v>
      </c>
      <c r="AQ164" s="55">
        <v>8143064805158</v>
      </c>
      <c r="AR164" s="55">
        <v>50340273400</v>
      </c>
      <c r="AS164" s="55">
        <v>8674932500</v>
      </c>
      <c r="AT164" s="55">
        <v>0</v>
      </c>
      <c r="AU164" s="12">
        <v>1685197</v>
      </c>
      <c r="AV164" s="99">
        <v>559825603</v>
      </c>
    </row>
    <row r="165" spans="1:48" ht="14.25" customHeight="1">
      <c r="A165" s="41">
        <v>43921</v>
      </c>
      <c r="B165" s="30">
        <v>0</v>
      </c>
      <c r="C165" s="30">
        <v>0</v>
      </c>
      <c r="D165" s="30"/>
      <c r="E165" s="30"/>
      <c r="F165" s="30">
        <f t="shared" si="23"/>
        <v>0</v>
      </c>
      <c r="G165" s="30">
        <f t="shared" si="24"/>
        <v>0</v>
      </c>
      <c r="H165" s="31">
        <v>7594219700</v>
      </c>
      <c r="I165" s="31">
        <v>5195000000</v>
      </c>
      <c r="J165" s="31">
        <f>H165+I165</f>
        <v>12789219700</v>
      </c>
      <c r="K165" s="31"/>
      <c r="L165" s="31"/>
      <c r="M165" s="31"/>
      <c r="N165" s="31"/>
      <c r="O165" s="31">
        <f t="shared" si="25"/>
        <v>1755276</v>
      </c>
      <c r="P165" s="33">
        <f>723120*0.3</f>
        <v>216936</v>
      </c>
      <c r="Q165" s="42">
        <v>43921</v>
      </c>
      <c r="R165" s="34">
        <v>153</v>
      </c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>
        <f>179*2550</f>
        <v>456450</v>
      </c>
      <c r="AK165" s="34">
        <f t="shared" si="27"/>
        <v>413100</v>
      </c>
      <c r="AL165" s="33"/>
      <c r="AM165" s="33">
        <v>1600000</v>
      </c>
      <c r="AN165" s="12">
        <f t="shared" si="18"/>
        <v>4441762</v>
      </c>
      <c r="AO165" s="99">
        <f t="shared" si="19"/>
        <v>564267365</v>
      </c>
      <c r="AQ165" s="55">
        <v>8681072580800</v>
      </c>
      <c r="AR165" s="55">
        <v>76805428000</v>
      </c>
      <c r="AS165" s="55">
        <v>14784327200</v>
      </c>
      <c r="AT165" s="55">
        <v>0</v>
      </c>
      <c r="AU165" s="12">
        <v>4441762</v>
      </c>
      <c r="AV165" s="99">
        <v>564267365</v>
      </c>
    </row>
    <row r="166" spans="1:48" ht="14.65" customHeight="1">
      <c r="A166" s="41">
        <v>43922</v>
      </c>
      <c r="B166" s="30">
        <v>0</v>
      </c>
      <c r="C166" s="30">
        <v>0</v>
      </c>
      <c r="D166" s="30"/>
      <c r="E166" s="30"/>
      <c r="F166" s="30">
        <f t="shared" si="23"/>
        <v>0</v>
      </c>
      <c r="G166" s="30">
        <f t="shared" si="24"/>
        <v>0</v>
      </c>
      <c r="H166" s="31">
        <v>361914300</v>
      </c>
      <c r="I166" s="31">
        <v>0</v>
      </c>
      <c r="J166" s="31">
        <f>H166+I166</f>
        <v>361914300</v>
      </c>
      <c r="K166" s="31"/>
      <c r="L166" s="31"/>
      <c r="M166" s="31"/>
      <c r="N166" s="31"/>
      <c r="O166" s="31">
        <f t="shared" si="25"/>
        <v>39087</v>
      </c>
      <c r="P166" s="33">
        <f>34990*0.3</f>
        <v>10497</v>
      </c>
      <c r="Q166" s="42">
        <v>43922</v>
      </c>
      <c r="R166" s="34">
        <v>25</v>
      </c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>
        <f>198*2550*2</f>
        <v>1009800</v>
      </c>
      <c r="AK166" s="34">
        <f t="shared" si="27"/>
        <v>67500</v>
      </c>
      <c r="AL166" s="33"/>
      <c r="AN166" s="12">
        <f t="shared" si="18"/>
        <v>1126884</v>
      </c>
      <c r="AO166" s="99">
        <f t="shared" si="19"/>
        <v>565394249</v>
      </c>
      <c r="AQ166" s="55">
        <v>9071304718400</v>
      </c>
      <c r="AR166" s="55">
        <v>10677780400</v>
      </c>
      <c r="AS166" s="55">
        <v>2797006100</v>
      </c>
      <c r="AT166" s="55">
        <v>0</v>
      </c>
      <c r="AU166" s="12">
        <v>1126884</v>
      </c>
      <c r="AV166" s="99">
        <v>565394249</v>
      </c>
    </row>
    <row r="167" spans="1:48" ht="15" customHeight="1" thickBot="1">
      <c r="A167" s="41">
        <v>43923</v>
      </c>
      <c r="B167" s="30">
        <v>0</v>
      </c>
      <c r="C167" s="30">
        <v>0</v>
      </c>
      <c r="D167" s="30"/>
      <c r="E167" s="30"/>
      <c r="F167" s="30">
        <f t="shared" si="23"/>
        <v>0</v>
      </c>
      <c r="G167" s="30">
        <f t="shared" si="24"/>
        <v>0</v>
      </c>
      <c r="H167" s="31"/>
      <c r="I167" s="31"/>
      <c r="J167" s="31"/>
      <c r="K167" s="31"/>
      <c r="L167" s="31"/>
      <c r="M167" s="31"/>
      <c r="N167" s="31"/>
      <c r="O167" s="31">
        <f t="shared" si="25"/>
        <v>0</v>
      </c>
      <c r="P167" s="33"/>
      <c r="Q167" s="42">
        <v>43923</v>
      </c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3"/>
      <c r="AN167" s="12">
        <f t="shared" si="18"/>
        <v>0</v>
      </c>
      <c r="AO167" s="99">
        <f t="shared" si="19"/>
        <v>565394249</v>
      </c>
      <c r="AQ167" s="55">
        <v>0</v>
      </c>
      <c r="AR167" s="55">
        <v>0</v>
      </c>
      <c r="AS167" s="55">
        <v>0</v>
      </c>
      <c r="AT167" s="55">
        <v>0</v>
      </c>
      <c r="AU167" s="12">
        <v>0</v>
      </c>
      <c r="AV167" s="99">
        <v>565394249</v>
      </c>
    </row>
    <row r="168" spans="1:48" ht="15" customHeight="1">
      <c r="A168" s="35">
        <v>43924</v>
      </c>
      <c r="B168" s="36">
        <v>0</v>
      </c>
      <c r="C168" s="36">
        <v>0</v>
      </c>
      <c r="D168" s="36"/>
      <c r="E168" s="36"/>
      <c r="F168" s="36">
        <f t="shared" si="23"/>
        <v>0</v>
      </c>
      <c r="G168" s="36">
        <f t="shared" si="24"/>
        <v>0</v>
      </c>
      <c r="H168" s="37">
        <v>2181089400</v>
      </c>
      <c r="I168" s="37">
        <v>20159000000</v>
      </c>
      <c r="J168" s="37">
        <v>22340089400</v>
      </c>
      <c r="K168" s="37"/>
      <c r="L168" s="37"/>
      <c r="M168" s="37"/>
      <c r="N168" s="37"/>
      <c r="O168" s="37">
        <f t="shared" si="25"/>
        <v>3864178</v>
      </c>
      <c r="P168" s="38">
        <f>204760*0.3</f>
        <v>61428</v>
      </c>
      <c r="Q168" s="39">
        <v>43924</v>
      </c>
      <c r="R168" s="39">
        <v>541</v>
      </c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>
        <f>495*2550*3</f>
        <v>3786750</v>
      </c>
      <c r="AK168" s="39">
        <f t="shared" ref="AK168:AK199" si="28">R168*2700</f>
        <v>1460700</v>
      </c>
      <c r="AL168" s="38"/>
      <c r="AM168" s="38"/>
      <c r="AN168" s="12">
        <f t="shared" si="18"/>
        <v>9173056</v>
      </c>
      <c r="AO168" s="99">
        <f t="shared" si="19"/>
        <v>574567305</v>
      </c>
      <c r="AQ168" s="55">
        <v>8406616718030</v>
      </c>
      <c r="AR168" s="55">
        <v>73215107400</v>
      </c>
      <c r="AS168" s="55">
        <v>37805379200</v>
      </c>
      <c r="AT168" s="55">
        <v>37805379200</v>
      </c>
      <c r="AU168" s="12">
        <v>9173056</v>
      </c>
      <c r="AV168" s="99">
        <v>574567305</v>
      </c>
    </row>
    <row r="169" spans="1:48" ht="15" customHeight="1">
      <c r="A169" s="41">
        <v>43927</v>
      </c>
      <c r="B169" s="29">
        <v>927000</v>
      </c>
      <c r="C169" s="30">
        <v>0</v>
      </c>
      <c r="D169" s="30"/>
      <c r="E169" s="30"/>
      <c r="F169" s="30">
        <f t="shared" si="23"/>
        <v>927000</v>
      </c>
      <c r="G169" s="30">
        <f t="shared" si="24"/>
        <v>250</v>
      </c>
      <c r="H169" s="31">
        <v>667741800</v>
      </c>
      <c r="I169" s="32">
        <v>0</v>
      </c>
      <c r="J169" s="32">
        <f t="shared" ref="J169:J190" si="29">H169+I169</f>
        <v>667741800</v>
      </c>
      <c r="K169" s="31"/>
      <c r="L169" s="31"/>
      <c r="M169" s="31"/>
      <c r="N169" s="31"/>
      <c r="O169" s="31">
        <f t="shared" si="25"/>
        <v>72116</v>
      </c>
      <c r="P169" s="33">
        <f>60220*0.3</f>
        <v>18066</v>
      </c>
      <c r="Q169" s="42">
        <v>43927</v>
      </c>
      <c r="R169" s="34">
        <v>10</v>
      </c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>
        <f>485*2550</f>
        <v>1236750</v>
      </c>
      <c r="AK169" s="42">
        <f t="shared" si="28"/>
        <v>27000</v>
      </c>
      <c r="AL169" s="33"/>
      <c r="AM169" s="33"/>
      <c r="AN169" s="12">
        <f t="shared" si="18"/>
        <v>1354182</v>
      </c>
      <c r="AO169" s="99">
        <f t="shared" si="19"/>
        <v>575921487</v>
      </c>
      <c r="AQ169" s="55">
        <v>11321189200600</v>
      </c>
      <c r="AR169" s="55">
        <v>62079223000</v>
      </c>
      <c r="AS169" s="55">
        <v>781865800</v>
      </c>
      <c r="AT169" s="55">
        <v>782792800</v>
      </c>
      <c r="AU169" s="12">
        <v>1354182</v>
      </c>
      <c r="AV169" s="99">
        <v>575921487</v>
      </c>
    </row>
    <row r="170" spans="1:48" ht="15" customHeight="1">
      <c r="A170" s="41">
        <v>43928</v>
      </c>
      <c r="B170" s="29">
        <v>4176976300</v>
      </c>
      <c r="C170" s="29">
        <v>1397980000</v>
      </c>
      <c r="D170" s="30"/>
      <c r="E170" s="30"/>
      <c r="F170" s="30">
        <f t="shared" si="23"/>
        <v>5574956300</v>
      </c>
      <c r="G170" s="30">
        <f t="shared" si="24"/>
        <v>1505238</v>
      </c>
      <c r="H170" s="31">
        <v>2205492300</v>
      </c>
      <c r="I170" s="31">
        <v>0</v>
      </c>
      <c r="J170" s="32">
        <f t="shared" si="29"/>
        <v>2205492300</v>
      </c>
      <c r="K170" s="31"/>
      <c r="L170" s="31"/>
      <c r="M170" s="31"/>
      <c r="N170" s="31"/>
      <c r="O170" s="31">
        <f t="shared" si="25"/>
        <v>238193</v>
      </c>
      <c r="P170" s="33">
        <f>322760*0.3</f>
        <v>96828</v>
      </c>
      <c r="Q170" s="42">
        <v>43928</v>
      </c>
      <c r="R170" s="34">
        <v>152</v>
      </c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>
        <f>373*2550</f>
        <v>951150</v>
      </c>
      <c r="AK170" s="42">
        <f t="shared" si="28"/>
        <v>410400</v>
      </c>
      <c r="AL170" s="33"/>
      <c r="AM170" s="33">
        <v>600000</v>
      </c>
      <c r="AN170" s="12">
        <f t="shared" si="18"/>
        <v>3801809</v>
      </c>
      <c r="AO170" s="99">
        <f t="shared" si="19"/>
        <v>579723296</v>
      </c>
      <c r="AQ170" s="55">
        <v>11284582460540</v>
      </c>
      <c r="AR170" s="55">
        <v>38063259200</v>
      </c>
      <c r="AS170" s="55">
        <v>2774513600</v>
      </c>
      <c r="AT170" s="55">
        <v>8349469900</v>
      </c>
      <c r="AU170" s="12">
        <v>3801809</v>
      </c>
      <c r="AV170" s="99">
        <v>579723296</v>
      </c>
    </row>
    <row r="171" spans="1:48" ht="15" customHeight="1">
      <c r="A171" s="41">
        <v>43929</v>
      </c>
      <c r="B171" s="29">
        <v>2992482800</v>
      </c>
      <c r="C171" s="29">
        <v>1910066000</v>
      </c>
      <c r="D171" s="30"/>
      <c r="E171" s="30"/>
      <c r="F171" s="30">
        <f t="shared" si="23"/>
        <v>4902548800</v>
      </c>
      <c r="G171" s="30">
        <f t="shared" si="24"/>
        <v>1323688</v>
      </c>
      <c r="H171" s="31">
        <v>1267757200</v>
      </c>
      <c r="I171" s="31">
        <v>0</v>
      </c>
      <c r="J171" s="32">
        <f t="shared" si="29"/>
        <v>1267757200</v>
      </c>
      <c r="K171" s="31"/>
      <c r="L171" s="31"/>
      <c r="M171" s="31"/>
      <c r="N171" s="31"/>
      <c r="O171" s="31">
        <f t="shared" si="25"/>
        <v>136918</v>
      </c>
      <c r="P171" s="33">
        <f>197830*0.3</f>
        <v>59349</v>
      </c>
      <c r="Q171" s="42">
        <v>43929</v>
      </c>
      <c r="R171" s="34">
        <v>135</v>
      </c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>
        <f>276*2550</f>
        <v>703800</v>
      </c>
      <c r="AK171" s="42">
        <f t="shared" si="28"/>
        <v>364500</v>
      </c>
      <c r="AL171" s="33"/>
      <c r="AM171" s="33">
        <v>600000</v>
      </c>
      <c r="AN171" s="12">
        <f t="shared" si="18"/>
        <v>3188255</v>
      </c>
      <c r="AO171" s="99">
        <f t="shared" si="19"/>
        <v>582911551</v>
      </c>
      <c r="AQ171" s="55">
        <v>8839622865204</v>
      </c>
      <c r="AR171" s="55">
        <v>4570290000</v>
      </c>
      <c r="AS171" s="55">
        <v>1267757200</v>
      </c>
      <c r="AT171" s="55">
        <v>6170306000</v>
      </c>
      <c r="AU171" s="12">
        <v>3188255</v>
      </c>
      <c r="AV171" s="99">
        <v>582911551</v>
      </c>
    </row>
    <row r="172" spans="1:48" ht="15" customHeight="1" thickBot="1">
      <c r="A172" s="41">
        <v>43930</v>
      </c>
      <c r="B172" s="29">
        <v>3866731900</v>
      </c>
      <c r="C172" s="29">
        <v>0</v>
      </c>
      <c r="D172" s="30"/>
      <c r="E172" s="30"/>
      <c r="F172" s="30">
        <f t="shared" si="23"/>
        <v>3866731900</v>
      </c>
      <c r="G172" s="30">
        <f t="shared" si="24"/>
        <v>1044018</v>
      </c>
      <c r="H172" s="31">
        <v>2099953700</v>
      </c>
      <c r="I172" s="31">
        <v>5775000000</v>
      </c>
      <c r="J172" s="32">
        <f t="shared" si="29"/>
        <v>7874953700</v>
      </c>
      <c r="K172" s="31"/>
      <c r="L172" s="31"/>
      <c r="M172" s="31"/>
      <c r="N172" s="31"/>
      <c r="O172" s="31">
        <f t="shared" si="25"/>
        <v>1266295</v>
      </c>
      <c r="P172" s="33">
        <f>287350*0.3</f>
        <v>86205</v>
      </c>
      <c r="Q172" s="42">
        <v>43930</v>
      </c>
      <c r="R172" s="34">
        <v>378</v>
      </c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>
        <f>274*2550</f>
        <v>698700</v>
      </c>
      <c r="AK172" s="34">
        <f t="shared" si="28"/>
        <v>1020600</v>
      </c>
      <c r="AL172" s="33"/>
      <c r="AM172" s="33">
        <v>1901795</v>
      </c>
      <c r="AN172" s="12">
        <f t="shared" si="18"/>
        <v>6017613</v>
      </c>
      <c r="AO172" s="99">
        <f t="shared" si="19"/>
        <v>588929164</v>
      </c>
      <c r="AQ172" s="55">
        <v>10529716144910</v>
      </c>
      <c r="AR172" s="55">
        <v>21794461000</v>
      </c>
      <c r="AS172" s="55">
        <v>7874953700</v>
      </c>
      <c r="AT172" s="55">
        <v>11741685600</v>
      </c>
      <c r="AU172" s="12">
        <v>6017613</v>
      </c>
      <c r="AV172" s="99">
        <v>588929164</v>
      </c>
    </row>
    <row r="173" spans="1:48" ht="15" customHeight="1">
      <c r="A173" s="35">
        <v>43931</v>
      </c>
      <c r="B173" s="36">
        <v>0</v>
      </c>
      <c r="C173" s="36">
        <v>0</v>
      </c>
      <c r="D173" s="36"/>
      <c r="E173" s="36"/>
      <c r="F173" s="36">
        <f t="shared" si="23"/>
        <v>0</v>
      </c>
      <c r="G173" s="36">
        <f t="shared" si="24"/>
        <v>0</v>
      </c>
      <c r="H173" s="37">
        <v>1432297600</v>
      </c>
      <c r="I173" s="37">
        <v>0</v>
      </c>
      <c r="J173" s="37">
        <f t="shared" si="29"/>
        <v>1432297600</v>
      </c>
      <c r="K173" s="37"/>
      <c r="L173" s="37"/>
      <c r="M173" s="37"/>
      <c r="N173" s="37"/>
      <c r="O173" s="37">
        <f t="shared" si="25"/>
        <v>154688</v>
      </c>
      <c r="P173" s="38">
        <f>119710*0.3</f>
        <v>35913</v>
      </c>
      <c r="Q173" s="39">
        <v>43931</v>
      </c>
      <c r="R173" s="39">
        <v>144</v>
      </c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>
        <f>264*2550*3</f>
        <v>2019600</v>
      </c>
      <c r="AK173" s="39">
        <f t="shared" si="28"/>
        <v>388800</v>
      </c>
      <c r="AL173" s="38"/>
      <c r="AM173" s="38"/>
      <c r="AN173" s="12">
        <f t="shared" si="18"/>
        <v>2599001</v>
      </c>
      <c r="AO173" s="99">
        <f t="shared" si="19"/>
        <v>591528165</v>
      </c>
      <c r="AQ173" s="55">
        <v>9619601466280</v>
      </c>
      <c r="AR173" s="55">
        <v>6680397200</v>
      </c>
      <c r="AS173" s="55">
        <v>1461047600</v>
      </c>
      <c r="AT173" s="55">
        <v>1461047600</v>
      </c>
      <c r="AU173" s="12">
        <v>2599001</v>
      </c>
      <c r="AV173" s="99">
        <v>591528165</v>
      </c>
    </row>
    <row r="174" spans="1:48" ht="15" customHeight="1">
      <c r="A174" s="41">
        <v>43934</v>
      </c>
      <c r="B174" s="29">
        <v>0</v>
      </c>
      <c r="C174" s="29">
        <v>1015220000</v>
      </c>
      <c r="D174" s="30"/>
      <c r="E174" s="30"/>
      <c r="F174" s="30">
        <f t="shared" si="23"/>
        <v>1015220000</v>
      </c>
      <c r="G174" s="30">
        <f t="shared" si="24"/>
        <v>274109</v>
      </c>
      <c r="H174" s="31">
        <v>404132400</v>
      </c>
      <c r="I174" s="31">
        <v>0</v>
      </c>
      <c r="J174" s="32">
        <f t="shared" si="29"/>
        <v>404132400</v>
      </c>
      <c r="K174" s="31"/>
      <c r="L174" s="31"/>
      <c r="M174" s="31"/>
      <c r="N174" s="31"/>
      <c r="O174" s="31">
        <f t="shared" si="25"/>
        <v>43646</v>
      </c>
      <c r="P174" s="33">
        <f>15570*0.3</f>
        <v>4671</v>
      </c>
      <c r="Q174" s="42">
        <v>43934</v>
      </c>
      <c r="R174" s="34">
        <v>37</v>
      </c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>
        <f>247*2550</f>
        <v>629850</v>
      </c>
      <c r="AK174" s="34">
        <f t="shared" si="28"/>
        <v>99900</v>
      </c>
      <c r="AL174" s="33"/>
      <c r="AM174" s="33">
        <v>600000</v>
      </c>
      <c r="AN174" s="12">
        <f t="shared" si="18"/>
        <v>1652176</v>
      </c>
      <c r="AO174" s="99">
        <f t="shared" si="19"/>
        <v>593180341</v>
      </c>
      <c r="AQ174" s="55">
        <v>9870027884700</v>
      </c>
      <c r="AR174" s="55">
        <v>23226257000</v>
      </c>
      <c r="AS174" s="55">
        <v>2213111100</v>
      </c>
      <c r="AT174" s="55">
        <v>3228331100</v>
      </c>
      <c r="AU174" s="12">
        <v>1652176</v>
      </c>
      <c r="AV174" s="99">
        <v>593180341</v>
      </c>
    </row>
    <row r="175" spans="1:48" ht="15" customHeight="1">
      <c r="A175" s="41">
        <v>43935</v>
      </c>
      <c r="B175" s="29">
        <v>2191186500</v>
      </c>
      <c r="C175" s="29">
        <v>0</v>
      </c>
      <c r="D175" s="30"/>
      <c r="E175" s="30"/>
      <c r="F175" s="30">
        <f t="shared" si="23"/>
        <v>2191186500</v>
      </c>
      <c r="G175" s="30">
        <f t="shared" si="24"/>
        <v>591620</v>
      </c>
      <c r="H175" s="31">
        <v>4530741800</v>
      </c>
      <c r="I175" s="31">
        <v>0</v>
      </c>
      <c r="J175" s="31">
        <f t="shared" si="29"/>
        <v>4530741800</v>
      </c>
      <c r="K175" s="31"/>
      <c r="L175" s="31"/>
      <c r="M175" s="31"/>
      <c r="N175" s="31"/>
      <c r="O175" s="31">
        <f t="shared" si="25"/>
        <v>489320</v>
      </c>
      <c r="P175" s="33">
        <f>438760*0.3</f>
        <v>131628</v>
      </c>
      <c r="Q175" s="42">
        <v>43935</v>
      </c>
      <c r="R175" s="34">
        <v>75</v>
      </c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>
        <f>176*2550</f>
        <v>448800</v>
      </c>
      <c r="AK175" s="34">
        <f t="shared" si="28"/>
        <v>202500</v>
      </c>
      <c r="AL175" s="33"/>
      <c r="AM175" s="33"/>
      <c r="AN175" s="12">
        <f t="shared" si="18"/>
        <v>1863868</v>
      </c>
      <c r="AO175" s="99">
        <f t="shared" si="19"/>
        <v>595044209</v>
      </c>
      <c r="AQ175" s="55">
        <v>9792887681146</v>
      </c>
      <c r="AR175" s="55">
        <v>34042000000</v>
      </c>
      <c r="AS175" s="55">
        <v>4904518800</v>
      </c>
      <c r="AT175" s="55">
        <v>7095705300</v>
      </c>
      <c r="AU175" s="12">
        <v>1863868</v>
      </c>
      <c r="AV175" s="99">
        <v>595044209</v>
      </c>
    </row>
    <row r="176" spans="1:48" ht="15" customHeight="1">
      <c r="A176" s="41">
        <v>43936</v>
      </c>
      <c r="B176" s="29">
        <v>0</v>
      </c>
      <c r="C176" s="29">
        <v>0</v>
      </c>
      <c r="D176" s="29"/>
      <c r="E176" s="29"/>
      <c r="F176" s="29">
        <f t="shared" si="23"/>
        <v>0</v>
      </c>
      <c r="G176" s="29">
        <f t="shared" si="24"/>
        <v>0</v>
      </c>
      <c r="H176" s="31">
        <v>2209550000</v>
      </c>
      <c r="I176" s="31">
        <v>0</v>
      </c>
      <c r="J176" s="31">
        <f t="shared" si="29"/>
        <v>2209550000</v>
      </c>
      <c r="K176" s="31"/>
      <c r="L176" s="31"/>
      <c r="M176" s="31"/>
      <c r="N176" s="31"/>
      <c r="O176" s="31">
        <f t="shared" si="25"/>
        <v>238631</v>
      </c>
      <c r="P176" s="33">
        <f>83600*0.3</f>
        <v>25080</v>
      </c>
      <c r="Q176" s="42">
        <v>43936</v>
      </c>
      <c r="R176" s="34">
        <v>29</v>
      </c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>
        <f>175*2550</f>
        <v>446250</v>
      </c>
      <c r="AK176" s="34">
        <f t="shared" si="28"/>
        <v>78300</v>
      </c>
      <c r="AL176" s="33"/>
      <c r="AM176" s="33"/>
      <c r="AN176" s="12">
        <f t="shared" si="18"/>
        <v>788261</v>
      </c>
      <c r="AO176" s="99">
        <f t="shared" si="19"/>
        <v>595832470</v>
      </c>
      <c r="AQ176" s="55">
        <v>11267777955396</v>
      </c>
      <c r="AR176" s="55">
        <v>9633483000</v>
      </c>
      <c r="AS176" s="55">
        <v>2221618300</v>
      </c>
      <c r="AT176" s="55">
        <v>2221618300</v>
      </c>
      <c r="AU176" s="12">
        <v>788261</v>
      </c>
      <c r="AV176" s="99">
        <v>595832470</v>
      </c>
    </row>
    <row r="177" spans="1:48" ht="15" customHeight="1" thickBot="1">
      <c r="A177" s="41">
        <v>43937</v>
      </c>
      <c r="B177" s="29">
        <v>0</v>
      </c>
      <c r="C177" s="29">
        <v>0</v>
      </c>
      <c r="D177" s="29"/>
      <c r="E177" s="29"/>
      <c r="F177" s="29">
        <f t="shared" si="23"/>
        <v>0</v>
      </c>
      <c r="G177" s="29">
        <f t="shared" si="24"/>
        <v>0</v>
      </c>
      <c r="H177" s="31">
        <v>1631276100</v>
      </c>
      <c r="I177" s="31">
        <v>0</v>
      </c>
      <c r="J177" s="31">
        <f t="shared" si="29"/>
        <v>1631276100</v>
      </c>
      <c r="K177" s="31"/>
      <c r="L177" s="31"/>
      <c r="M177" s="31"/>
      <c r="N177" s="31"/>
      <c r="O177" s="31">
        <f t="shared" si="25"/>
        <v>176178</v>
      </c>
      <c r="P177" s="33">
        <f>124820*0.3</f>
        <v>37446</v>
      </c>
      <c r="Q177" s="42">
        <v>43937</v>
      </c>
      <c r="R177" s="34">
        <v>22</v>
      </c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>
        <f>157*2550</f>
        <v>400350</v>
      </c>
      <c r="AK177" s="34">
        <f t="shared" si="28"/>
        <v>59400</v>
      </c>
      <c r="AL177" s="33"/>
      <c r="AM177" s="33"/>
      <c r="AN177" s="12">
        <f t="shared" si="18"/>
        <v>673374</v>
      </c>
      <c r="AO177" s="99">
        <f t="shared" si="19"/>
        <v>596505844</v>
      </c>
      <c r="AQ177" s="55">
        <v>9410946367800</v>
      </c>
      <c r="AR177" s="55">
        <v>6998464600</v>
      </c>
      <c r="AS177" s="55">
        <v>1848056100</v>
      </c>
      <c r="AT177" s="55">
        <v>1848056100</v>
      </c>
      <c r="AU177" s="12">
        <v>673374</v>
      </c>
      <c r="AV177" s="99">
        <v>596505844</v>
      </c>
    </row>
    <row r="178" spans="1:48" ht="15" customHeight="1">
      <c r="A178" s="35">
        <v>43938</v>
      </c>
      <c r="B178" s="36">
        <v>5219299400</v>
      </c>
      <c r="C178" s="36">
        <v>0</v>
      </c>
      <c r="D178" s="36"/>
      <c r="E178" s="36"/>
      <c r="F178" s="36">
        <f t="shared" si="23"/>
        <v>5219299400</v>
      </c>
      <c r="G178" s="36">
        <f t="shared" si="24"/>
        <v>1409211</v>
      </c>
      <c r="H178" s="37">
        <v>3422640700</v>
      </c>
      <c r="I178" s="37">
        <v>2423000000</v>
      </c>
      <c r="J178" s="37">
        <f t="shared" si="29"/>
        <v>5845640700</v>
      </c>
      <c r="K178" s="37"/>
      <c r="L178" s="37"/>
      <c r="M178" s="37"/>
      <c r="N178" s="37"/>
      <c r="O178" s="37">
        <f t="shared" si="25"/>
        <v>805785</v>
      </c>
      <c r="P178" s="38">
        <f>280770*0.3</f>
        <v>84231</v>
      </c>
      <c r="Q178" s="39">
        <v>43938</v>
      </c>
      <c r="R178" s="39">
        <v>164</v>
      </c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>
        <f>201*2550*3</f>
        <v>1537650</v>
      </c>
      <c r="AK178" s="39">
        <f t="shared" si="28"/>
        <v>442800</v>
      </c>
      <c r="AL178" s="38"/>
      <c r="AM178" s="38"/>
      <c r="AN178" s="12">
        <f t="shared" si="18"/>
        <v>4279677</v>
      </c>
      <c r="AO178" s="99">
        <f t="shared" si="19"/>
        <v>600785521</v>
      </c>
      <c r="AQ178" s="55">
        <v>12540285501000</v>
      </c>
      <c r="AR178" s="55">
        <v>168190066600</v>
      </c>
      <c r="AS178" s="55">
        <v>5874774800</v>
      </c>
      <c r="AT178" s="55">
        <v>11094074200</v>
      </c>
      <c r="AU178" s="12">
        <v>4279677</v>
      </c>
      <c r="AV178" s="99">
        <v>600785521</v>
      </c>
    </row>
    <row r="179" spans="1:48" ht="15" customHeight="1">
      <c r="A179" s="41">
        <v>43941</v>
      </c>
      <c r="B179" s="30">
        <v>0</v>
      </c>
      <c r="C179" s="30">
        <v>0</v>
      </c>
      <c r="D179" s="30"/>
      <c r="E179" s="30"/>
      <c r="F179" s="30">
        <f t="shared" si="23"/>
        <v>0</v>
      </c>
      <c r="G179" s="29">
        <f t="shared" si="24"/>
        <v>0</v>
      </c>
      <c r="H179" s="31">
        <v>2389016100</v>
      </c>
      <c r="I179" s="31">
        <v>294048000</v>
      </c>
      <c r="J179" s="32">
        <f t="shared" si="29"/>
        <v>2683064100</v>
      </c>
      <c r="K179" s="31"/>
      <c r="L179" s="31"/>
      <c r="M179" s="31"/>
      <c r="N179" s="31"/>
      <c r="O179" s="31">
        <f t="shared" si="25"/>
        <v>310942</v>
      </c>
      <c r="P179" s="33">
        <f>178570*0.3</f>
        <v>53571</v>
      </c>
      <c r="Q179" s="42">
        <v>43941</v>
      </c>
      <c r="R179" s="34">
        <v>122</v>
      </c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>
        <f>179*2550</f>
        <v>456450</v>
      </c>
      <c r="AK179" s="34">
        <f t="shared" si="28"/>
        <v>329400</v>
      </c>
      <c r="AL179" s="33"/>
      <c r="AM179" s="33"/>
      <c r="AN179" s="12">
        <f t="shared" si="18"/>
        <v>1150363</v>
      </c>
      <c r="AO179" s="99">
        <f t="shared" si="19"/>
        <v>601935884</v>
      </c>
      <c r="AQ179" s="55">
        <v>12510180753528</v>
      </c>
      <c r="AR179" s="55">
        <v>11111704800</v>
      </c>
      <c r="AS179" s="55">
        <v>3284176100</v>
      </c>
      <c r="AT179" s="55">
        <v>3284176100</v>
      </c>
      <c r="AU179" s="12">
        <v>1150363</v>
      </c>
      <c r="AV179" s="99">
        <v>601935884</v>
      </c>
    </row>
    <row r="180" spans="1:48" ht="15" customHeight="1">
      <c r="A180" s="41">
        <v>43942</v>
      </c>
      <c r="B180" s="30">
        <v>0</v>
      </c>
      <c r="C180" s="30">
        <v>0</v>
      </c>
      <c r="D180" s="30"/>
      <c r="E180" s="30"/>
      <c r="F180" s="30">
        <f t="shared" si="23"/>
        <v>0</v>
      </c>
      <c r="G180" s="29">
        <f t="shared" si="24"/>
        <v>0</v>
      </c>
      <c r="H180" s="31">
        <v>2267146200</v>
      </c>
      <c r="I180" s="31">
        <v>0</v>
      </c>
      <c r="J180" s="31">
        <f t="shared" si="29"/>
        <v>2267146200</v>
      </c>
      <c r="K180" s="31"/>
      <c r="L180" s="31"/>
      <c r="M180" s="31"/>
      <c r="N180" s="31"/>
      <c r="O180" s="31">
        <f t="shared" si="25"/>
        <v>244852</v>
      </c>
      <c r="P180" s="33">
        <f>112950*0.3</f>
        <v>33885</v>
      </c>
      <c r="Q180" s="42">
        <v>43942</v>
      </c>
      <c r="R180" s="34">
        <v>76</v>
      </c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>
        <f>171*2550</f>
        <v>436050</v>
      </c>
      <c r="AK180" s="34">
        <f t="shared" si="28"/>
        <v>205200</v>
      </c>
      <c r="AL180" s="33"/>
      <c r="AM180" s="33"/>
      <c r="AN180" s="12">
        <f t="shared" si="18"/>
        <v>919987</v>
      </c>
      <c r="AO180" s="99">
        <f t="shared" si="19"/>
        <v>602855871</v>
      </c>
      <c r="AQ180" s="55">
        <v>14346373988400</v>
      </c>
      <c r="AR180" s="55">
        <v>109839114800</v>
      </c>
      <c r="AS180" s="55">
        <v>4772491200</v>
      </c>
      <c r="AT180" s="55">
        <v>4772491200</v>
      </c>
      <c r="AU180" s="12">
        <v>919987</v>
      </c>
      <c r="AV180" s="99">
        <v>602855871</v>
      </c>
    </row>
    <row r="181" spans="1:48" ht="15" customHeight="1">
      <c r="A181" s="41">
        <v>43943</v>
      </c>
      <c r="B181" s="29">
        <v>155886400</v>
      </c>
      <c r="C181" s="29">
        <v>1188492000</v>
      </c>
      <c r="D181" s="30"/>
      <c r="E181" s="30"/>
      <c r="F181" s="30">
        <f t="shared" si="23"/>
        <v>1344378400</v>
      </c>
      <c r="G181" s="29">
        <f t="shared" si="24"/>
        <v>362982</v>
      </c>
      <c r="H181" s="31">
        <v>5096290800</v>
      </c>
      <c r="I181" s="31">
        <v>0</v>
      </c>
      <c r="J181" s="31">
        <f t="shared" si="29"/>
        <v>5096290800</v>
      </c>
      <c r="K181" s="31"/>
      <c r="L181" s="31"/>
      <c r="M181" s="31"/>
      <c r="N181" s="31"/>
      <c r="O181" s="31">
        <f t="shared" si="25"/>
        <v>550399</v>
      </c>
      <c r="P181" s="33">
        <f>386750*0.3</f>
        <v>116025</v>
      </c>
      <c r="Q181" s="42">
        <v>43943</v>
      </c>
      <c r="R181" s="34">
        <v>79</v>
      </c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>
        <f>124*2550</f>
        <v>316200</v>
      </c>
      <c r="AK181" s="34">
        <f t="shared" si="28"/>
        <v>213300</v>
      </c>
      <c r="AL181" s="33"/>
      <c r="AM181" s="33">
        <v>700000</v>
      </c>
      <c r="AN181" s="12">
        <f t="shared" si="18"/>
        <v>2258906</v>
      </c>
      <c r="AO181" s="99">
        <f t="shared" si="19"/>
        <v>605114777</v>
      </c>
      <c r="AQ181" s="55">
        <v>9926080480800</v>
      </c>
      <c r="AR181" s="55">
        <v>87359237800</v>
      </c>
      <c r="AS181" s="55">
        <v>5096290800</v>
      </c>
      <c r="AT181" s="55">
        <v>6440669200</v>
      </c>
      <c r="AU181" s="12">
        <v>2258906</v>
      </c>
      <c r="AV181" s="99">
        <v>605114777</v>
      </c>
    </row>
    <row r="182" spans="1:48" ht="15" customHeight="1" thickBot="1">
      <c r="A182" s="41">
        <v>43944</v>
      </c>
      <c r="B182" s="29">
        <v>0</v>
      </c>
      <c r="C182" s="29">
        <v>0</v>
      </c>
      <c r="D182" s="29"/>
      <c r="E182" s="29"/>
      <c r="F182" s="29">
        <f t="shared" si="23"/>
        <v>0</v>
      </c>
      <c r="G182" s="29">
        <f t="shared" si="24"/>
        <v>0</v>
      </c>
      <c r="H182" s="31">
        <v>2343371700</v>
      </c>
      <c r="I182" s="31">
        <v>11985000000</v>
      </c>
      <c r="J182" s="31">
        <f t="shared" si="29"/>
        <v>14328371700</v>
      </c>
      <c r="K182" s="31"/>
      <c r="L182" s="31"/>
      <c r="M182" s="31"/>
      <c r="N182" s="31"/>
      <c r="O182" s="31">
        <f t="shared" si="25"/>
        <v>2410384</v>
      </c>
      <c r="P182" s="33">
        <f>188800*0.3</f>
        <v>56640</v>
      </c>
      <c r="Q182" s="42">
        <v>43944</v>
      </c>
      <c r="R182" s="34">
        <v>116</v>
      </c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>
        <f>164*2550</f>
        <v>418200</v>
      </c>
      <c r="AK182" s="34">
        <f t="shared" si="28"/>
        <v>313200</v>
      </c>
      <c r="AL182" s="33"/>
      <c r="AM182" s="33"/>
      <c r="AN182" s="12">
        <f t="shared" si="18"/>
        <v>3198424</v>
      </c>
      <c r="AO182" s="99">
        <f t="shared" si="19"/>
        <v>608313201</v>
      </c>
      <c r="AQ182" s="55">
        <v>8062522497942</v>
      </c>
      <c r="AR182" s="55">
        <v>124319742200</v>
      </c>
      <c r="AS182" s="55">
        <v>38258248500</v>
      </c>
      <c r="AT182" s="55">
        <v>38258248500</v>
      </c>
      <c r="AU182" s="12">
        <v>3198424</v>
      </c>
      <c r="AV182" s="99">
        <v>608313201</v>
      </c>
    </row>
    <row r="183" spans="1:48" ht="15" customHeight="1">
      <c r="A183" s="35">
        <v>43945</v>
      </c>
      <c r="B183" s="36">
        <f>1805837100-K183</f>
        <v>1726764100</v>
      </c>
      <c r="C183" s="36">
        <v>0</v>
      </c>
      <c r="D183" s="36"/>
      <c r="E183" s="36"/>
      <c r="F183" s="36">
        <f t="shared" si="23"/>
        <v>1726764100</v>
      </c>
      <c r="G183" s="36">
        <f t="shared" si="24"/>
        <v>466226</v>
      </c>
      <c r="H183" s="37">
        <f>6492982700-I183</f>
        <v>4104982700</v>
      </c>
      <c r="I183" s="37">
        <v>2388000000</v>
      </c>
      <c r="J183" s="37">
        <f t="shared" si="29"/>
        <v>6492982700</v>
      </c>
      <c r="K183" s="37">
        <v>79073000</v>
      </c>
      <c r="L183" s="37"/>
      <c r="M183" s="37"/>
      <c r="N183" s="37"/>
      <c r="O183" s="37">
        <f t="shared" si="25"/>
        <v>887411</v>
      </c>
      <c r="P183" s="38">
        <f>225480*0.3</f>
        <v>67644</v>
      </c>
      <c r="Q183" s="39">
        <v>43945</v>
      </c>
      <c r="R183" s="39">
        <v>43</v>
      </c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>
        <f>157*2550*3</f>
        <v>1201050</v>
      </c>
      <c r="AK183" s="39">
        <f t="shared" si="28"/>
        <v>116100</v>
      </c>
      <c r="AL183" s="38"/>
      <c r="AM183" s="38"/>
      <c r="AN183" s="12">
        <f t="shared" si="18"/>
        <v>2738431</v>
      </c>
      <c r="AO183" s="99">
        <f t="shared" si="19"/>
        <v>611051632</v>
      </c>
      <c r="AQ183" s="55">
        <v>8864323832400</v>
      </c>
      <c r="AR183" s="55">
        <v>42240033800</v>
      </c>
      <c r="AS183" s="55">
        <v>11509782700</v>
      </c>
      <c r="AT183" s="55">
        <v>13315619800</v>
      </c>
      <c r="AU183" s="12">
        <v>2738431</v>
      </c>
      <c r="AV183" s="99">
        <v>611051632</v>
      </c>
    </row>
    <row r="184" spans="1:48" ht="15" customHeight="1">
      <c r="A184" s="41">
        <v>43948</v>
      </c>
      <c r="B184" s="29">
        <v>881608200</v>
      </c>
      <c r="C184" s="29">
        <v>0</v>
      </c>
      <c r="D184" s="29"/>
      <c r="E184" s="29"/>
      <c r="F184" s="29">
        <f t="shared" si="23"/>
        <v>881608200</v>
      </c>
      <c r="G184" s="29">
        <f t="shared" si="24"/>
        <v>238034</v>
      </c>
      <c r="H184" s="31">
        <v>771018100</v>
      </c>
      <c r="I184" s="31">
        <v>0</v>
      </c>
      <c r="J184" s="31">
        <f t="shared" si="29"/>
        <v>771018100</v>
      </c>
      <c r="K184" s="31"/>
      <c r="L184" s="31"/>
      <c r="M184" s="31"/>
      <c r="N184" s="31"/>
      <c r="O184" s="31">
        <f t="shared" si="25"/>
        <v>83270</v>
      </c>
      <c r="P184" s="33">
        <f>75410*0.3</f>
        <v>22623</v>
      </c>
      <c r="Q184" s="42">
        <v>43948</v>
      </c>
      <c r="R184" s="34">
        <v>58</v>
      </c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>
        <f>161*2550</f>
        <v>410550</v>
      </c>
      <c r="AK184" s="34">
        <f t="shared" si="28"/>
        <v>156600</v>
      </c>
      <c r="AL184" s="33"/>
      <c r="AM184" s="33"/>
      <c r="AN184" s="12">
        <f t="shared" si="18"/>
        <v>911077</v>
      </c>
      <c r="AO184" s="99">
        <f t="shared" si="19"/>
        <v>611962709</v>
      </c>
      <c r="AQ184" s="55">
        <v>10672534664068</v>
      </c>
      <c r="AR184" s="55">
        <v>4902464600</v>
      </c>
      <c r="AS184" s="55">
        <v>771018100</v>
      </c>
      <c r="AT184" s="55">
        <v>1652626300</v>
      </c>
      <c r="AU184" s="12">
        <v>911077</v>
      </c>
      <c r="AV184" s="99">
        <v>611962709</v>
      </c>
    </row>
    <row r="185" spans="1:48" ht="15" customHeight="1">
      <c r="A185" s="41">
        <v>43949</v>
      </c>
      <c r="B185" s="29">
        <v>11333332100</v>
      </c>
      <c r="C185" s="29">
        <v>1456530500</v>
      </c>
      <c r="D185" s="29"/>
      <c r="E185" s="29"/>
      <c r="F185" s="29">
        <f t="shared" si="23"/>
        <v>12789862600</v>
      </c>
      <c r="G185" s="29">
        <f t="shared" si="24"/>
        <v>3453263</v>
      </c>
      <c r="H185" s="31">
        <v>3355166800</v>
      </c>
      <c r="I185" s="31">
        <v>11860000000</v>
      </c>
      <c r="J185" s="31">
        <f t="shared" si="29"/>
        <v>15215166800</v>
      </c>
      <c r="K185" s="31"/>
      <c r="L185" s="31"/>
      <c r="M185" s="31"/>
      <c r="N185" s="31"/>
      <c r="O185" s="31">
        <f t="shared" si="25"/>
        <v>2497158</v>
      </c>
      <c r="P185" s="33">
        <f>396800*0.3</f>
        <v>119040</v>
      </c>
      <c r="Q185" s="42">
        <v>43949</v>
      </c>
      <c r="R185" s="34">
        <v>198</v>
      </c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>
        <f>341*2550</f>
        <v>869550</v>
      </c>
      <c r="AK185" s="34">
        <f t="shared" si="28"/>
        <v>534600</v>
      </c>
      <c r="AL185" s="33"/>
      <c r="AM185" s="33">
        <v>700000</v>
      </c>
      <c r="AN185" s="12">
        <f t="shared" si="18"/>
        <v>8173611</v>
      </c>
      <c r="AO185" s="99">
        <f t="shared" si="19"/>
        <v>620136320</v>
      </c>
      <c r="AQ185" s="55">
        <v>8318937199716</v>
      </c>
      <c r="AR185" s="55">
        <v>30526161600</v>
      </c>
      <c r="AS185" s="55">
        <v>27075166800</v>
      </c>
      <c r="AT185" s="55">
        <v>39865029400</v>
      </c>
      <c r="AU185" s="12">
        <v>8173611</v>
      </c>
      <c r="AV185" s="99">
        <v>620136320</v>
      </c>
    </row>
    <row r="186" spans="1:48" ht="15" customHeight="1" thickBot="1">
      <c r="A186" s="41">
        <v>43950</v>
      </c>
      <c r="B186" s="29">
        <v>1748642800</v>
      </c>
      <c r="C186" s="29">
        <v>0</v>
      </c>
      <c r="D186" s="29"/>
      <c r="E186" s="29"/>
      <c r="F186" s="29">
        <f t="shared" si="23"/>
        <v>1748642800</v>
      </c>
      <c r="G186" s="29">
        <f t="shared" si="24"/>
        <v>472134</v>
      </c>
      <c r="H186" s="31">
        <v>928156700</v>
      </c>
      <c r="I186" s="31"/>
      <c r="J186" s="31">
        <f t="shared" si="29"/>
        <v>928156700</v>
      </c>
      <c r="K186" s="31"/>
      <c r="L186" s="31"/>
      <c r="M186" s="31"/>
      <c r="N186" s="31"/>
      <c r="O186" s="31">
        <f t="shared" si="25"/>
        <v>100241</v>
      </c>
      <c r="P186" s="33">
        <f>52010*0.3</f>
        <v>15603</v>
      </c>
      <c r="Q186" s="42">
        <v>43950</v>
      </c>
      <c r="R186" s="34">
        <v>43</v>
      </c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>
        <f>362*2550*2</f>
        <v>1846200</v>
      </c>
      <c r="AK186" s="34">
        <f t="shared" si="28"/>
        <v>116100</v>
      </c>
      <c r="AL186" s="33"/>
      <c r="AM186" s="33">
        <v>1600000</v>
      </c>
      <c r="AN186" s="12">
        <f t="shared" si="18"/>
        <v>4150278</v>
      </c>
      <c r="AO186" s="99">
        <f t="shared" si="19"/>
        <v>624286598</v>
      </c>
      <c r="AQ186" s="55">
        <v>9494819307400</v>
      </c>
      <c r="AR186" s="55">
        <v>3422919600</v>
      </c>
      <c r="AS186" s="55">
        <v>928156700</v>
      </c>
      <c r="AT186" s="55">
        <v>2676799500</v>
      </c>
      <c r="AU186" s="12">
        <v>4150278</v>
      </c>
      <c r="AV186" s="99">
        <v>624286598</v>
      </c>
    </row>
    <row r="187" spans="1:48" ht="15" customHeight="1">
      <c r="A187" s="41">
        <v>43955</v>
      </c>
      <c r="B187" s="36">
        <v>0</v>
      </c>
      <c r="C187" s="36">
        <v>0</v>
      </c>
      <c r="D187" s="30"/>
      <c r="E187" s="30"/>
      <c r="F187" s="29">
        <f t="shared" si="23"/>
        <v>0</v>
      </c>
      <c r="G187" s="44">
        <f t="shared" si="24"/>
        <v>0</v>
      </c>
      <c r="H187" s="37">
        <v>478865800</v>
      </c>
      <c r="I187" s="37"/>
      <c r="J187" s="45">
        <f t="shared" si="29"/>
        <v>478865800</v>
      </c>
      <c r="K187" s="45"/>
      <c r="L187" s="45"/>
      <c r="M187" s="45"/>
      <c r="N187" s="45"/>
      <c r="O187" s="45">
        <f t="shared" si="25"/>
        <v>51718</v>
      </c>
      <c r="P187" s="38">
        <f>40540*0.3</f>
        <v>12162</v>
      </c>
      <c r="Q187" s="39">
        <v>43955</v>
      </c>
      <c r="R187" s="39">
        <v>12</v>
      </c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>
        <f>362*2550*3+352*2550</f>
        <v>3666900</v>
      </c>
      <c r="AK187" s="39">
        <f t="shared" si="28"/>
        <v>32400</v>
      </c>
      <c r="AL187" s="38"/>
      <c r="AM187" s="38">
        <v>700000</v>
      </c>
      <c r="AN187" s="12">
        <f t="shared" si="18"/>
        <v>4463180</v>
      </c>
      <c r="AO187" s="99">
        <f t="shared" si="19"/>
        <v>628749778</v>
      </c>
      <c r="AQ187" s="55">
        <v>9046880296000</v>
      </c>
      <c r="AR187" s="55">
        <v>1274408000</v>
      </c>
      <c r="AS187" s="55">
        <v>478865800</v>
      </c>
      <c r="AT187" s="55">
        <v>478865800</v>
      </c>
      <c r="AU187" s="12">
        <v>4463180</v>
      </c>
      <c r="AV187" s="99">
        <v>628749778</v>
      </c>
    </row>
    <row r="188" spans="1:48" ht="15" customHeight="1">
      <c r="A188" s="41">
        <v>43956</v>
      </c>
      <c r="B188" s="29">
        <v>1728134700</v>
      </c>
      <c r="C188" s="29">
        <v>0</v>
      </c>
      <c r="D188" s="29"/>
      <c r="E188" s="29"/>
      <c r="F188" s="29">
        <f t="shared" si="23"/>
        <v>1728134700</v>
      </c>
      <c r="G188" s="29">
        <f t="shared" si="24"/>
        <v>466596</v>
      </c>
      <c r="H188" s="31">
        <v>1539369100</v>
      </c>
      <c r="I188" s="31"/>
      <c r="J188" s="31">
        <f t="shared" si="29"/>
        <v>1539369100</v>
      </c>
      <c r="K188" s="31"/>
      <c r="L188" s="31"/>
      <c r="M188" s="31"/>
      <c r="N188" s="31"/>
      <c r="O188" s="31">
        <f t="shared" si="25"/>
        <v>166252</v>
      </c>
      <c r="P188" s="33">
        <f>62680*0.3</f>
        <v>18804</v>
      </c>
      <c r="Q188" s="42">
        <v>43956</v>
      </c>
      <c r="R188" s="34">
        <v>45</v>
      </c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>
        <f>383*2550</f>
        <v>976650</v>
      </c>
      <c r="AK188" s="34">
        <f t="shared" si="28"/>
        <v>121500</v>
      </c>
      <c r="AL188" s="33"/>
      <c r="AM188" s="33"/>
      <c r="AN188" s="12">
        <f t="shared" si="18"/>
        <v>1749802</v>
      </c>
      <c r="AO188" s="99">
        <f t="shared" si="19"/>
        <v>630499580</v>
      </c>
      <c r="AQ188" s="55">
        <v>7637232782800</v>
      </c>
      <c r="AR188" s="55">
        <v>3914228000</v>
      </c>
      <c r="AS188" s="55">
        <v>1539369100</v>
      </c>
      <c r="AT188" s="55">
        <v>3267503800</v>
      </c>
      <c r="AU188" s="12">
        <v>1749802</v>
      </c>
      <c r="AV188" s="99">
        <v>630499580</v>
      </c>
    </row>
    <row r="189" spans="1:48" ht="15" customHeight="1">
      <c r="A189" s="41">
        <v>43957</v>
      </c>
      <c r="B189" s="29">
        <v>6597285600</v>
      </c>
      <c r="C189" s="29">
        <v>0</v>
      </c>
      <c r="D189" s="29"/>
      <c r="E189" s="29"/>
      <c r="F189" s="29">
        <f t="shared" si="23"/>
        <v>6597285600</v>
      </c>
      <c r="G189" s="29">
        <f t="shared" si="24"/>
        <v>1781267</v>
      </c>
      <c r="H189" s="31">
        <v>463930300</v>
      </c>
      <c r="I189" s="31"/>
      <c r="J189" s="31">
        <f t="shared" si="29"/>
        <v>463930300</v>
      </c>
      <c r="K189" s="31"/>
      <c r="L189" s="31"/>
      <c r="M189" s="31"/>
      <c r="N189" s="31"/>
      <c r="O189" s="31">
        <f t="shared" si="25"/>
        <v>50104</v>
      </c>
      <c r="P189" s="33">
        <f>153420*0.3</f>
        <v>46026</v>
      </c>
      <c r="Q189" s="42">
        <v>43957</v>
      </c>
      <c r="R189" s="34">
        <v>128</v>
      </c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>
        <f>409*2550</f>
        <v>1042950</v>
      </c>
      <c r="AK189" s="34">
        <f t="shared" si="28"/>
        <v>345600</v>
      </c>
      <c r="AL189" s="33"/>
      <c r="AM189" s="33">
        <v>3782330</v>
      </c>
      <c r="AN189" s="12">
        <f t="shared" si="18"/>
        <v>7048277</v>
      </c>
      <c r="AO189" s="99">
        <f t="shared" si="19"/>
        <v>637547857</v>
      </c>
      <c r="AQ189" s="55">
        <v>14042542315000</v>
      </c>
      <c r="AR189" s="55">
        <v>1563996600</v>
      </c>
      <c r="AS189" s="55">
        <v>463930300</v>
      </c>
      <c r="AT189" s="55">
        <v>7061215900</v>
      </c>
      <c r="AU189" s="12">
        <v>7048277</v>
      </c>
      <c r="AV189" s="99">
        <v>637547857</v>
      </c>
    </row>
    <row r="190" spans="1:48" ht="15" customHeight="1" thickBot="1">
      <c r="A190" s="41">
        <v>43958</v>
      </c>
      <c r="B190" s="29">
        <v>16719210100</v>
      </c>
      <c r="C190" s="29">
        <v>0</v>
      </c>
      <c r="D190" s="29"/>
      <c r="E190" s="29"/>
      <c r="F190" s="29">
        <f t="shared" si="23"/>
        <v>16719210100</v>
      </c>
      <c r="G190" s="29">
        <f t="shared" si="24"/>
        <v>4514187</v>
      </c>
      <c r="H190" s="31">
        <v>3105918900</v>
      </c>
      <c r="I190" s="31">
        <v>4893600000</v>
      </c>
      <c r="J190" s="31">
        <f t="shared" si="29"/>
        <v>7999518900</v>
      </c>
      <c r="K190" s="31"/>
      <c r="L190" s="31"/>
      <c r="M190" s="31"/>
      <c r="N190" s="31"/>
      <c r="O190" s="31">
        <f t="shared" si="25"/>
        <v>1216287</v>
      </c>
      <c r="P190" s="33">
        <f>672880*0.3</f>
        <v>201864</v>
      </c>
      <c r="Q190" s="42">
        <v>43958</v>
      </c>
      <c r="R190" s="34">
        <v>263</v>
      </c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>
        <f>656*2550</f>
        <v>1672800</v>
      </c>
      <c r="AK190" s="34">
        <f t="shared" si="28"/>
        <v>710100</v>
      </c>
      <c r="AL190" s="33"/>
      <c r="AM190" s="33"/>
      <c r="AN190" s="12">
        <f t="shared" si="18"/>
        <v>8315238</v>
      </c>
      <c r="AO190" s="99">
        <f t="shared" si="19"/>
        <v>645863095</v>
      </c>
      <c r="AQ190" s="55">
        <v>10170145058736</v>
      </c>
      <c r="AR190" s="55">
        <v>26381915400</v>
      </c>
      <c r="AS190" s="55">
        <v>7999518900</v>
      </c>
      <c r="AT190" s="55">
        <v>24718729000</v>
      </c>
      <c r="AU190" s="12">
        <v>8315238</v>
      </c>
      <c r="AV190" s="99">
        <v>645863095</v>
      </c>
    </row>
    <row r="191" spans="1:48" ht="15" customHeight="1">
      <c r="A191" s="41">
        <v>43959</v>
      </c>
      <c r="B191" s="36">
        <v>53921248500</v>
      </c>
      <c r="C191" s="36">
        <v>0</v>
      </c>
      <c r="D191" s="30"/>
      <c r="E191" s="30"/>
      <c r="F191" s="29">
        <f t="shared" si="23"/>
        <v>53921248500</v>
      </c>
      <c r="G191" s="36">
        <f t="shared" si="24"/>
        <v>14558737</v>
      </c>
      <c r="H191" s="37">
        <v>3137375200</v>
      </c>
      <c r="I191" s="37">
        <v>10039000000</v>
      </c>
      <c r="J191" s="37">
        <v>13176375200</v>
      </c>
      <c r="K191" s="37"/>
      <c r="L191" s="37"/>
      <c r="M191" s="37"/>
      <c r="N191" s="37"/>
      <c r="O191" s="37">
        <f t="shared" si="25"/>
        <v>2145857</v>
      </c>
      <c r="P191" s="38">
        <f>863160*0.3</f>
        <v>258948</v>
      </c>
      <c r="Q191" s="39">
        <v>43959</v>
      </c>
      <c r="R191" s="39">
        <v>420</v>
      </c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>
        <f>980*2550*3</f>
        <v>7497000</v>
      </c>
      <c r="AK191" s="39">
        <f t="shared" si="28"/>
        <v>1134000</v>
      </c>
      <c r="AL191" s="38"/>
      <c r="AM191" s="38"/>
      <c r="AN191" s="12">
        <f t="shared" si="18"/>
        <v>25594542</v>
      </c>
      <c r="AO191" s="99">
        <f t="shared" si="19"/>
        <v>671457637</v>
      </c>
      <c r="AQ191" s="55">
        <v>15937602005800</v>
      </c>
      <c r="AR191" s="55">
        <v>62400436600</v>
      </c>
      <c r="AS191" s="55">
        <v>23215375200</v>
      </c>
      <c r="AT191" s="55">
        <v>77136623700</v>
      </c>
      <c r="AU191" s="12">
        <v>25594542</v>
      </c>
      <c r="AV191" s="99">
        <v>671457637</v>
      </c>
    </row>
    <row r="192" spans="1:48" ht="15" customHeight="1">
      <c r="A192" s="41">
        <v>43962</v>
      </c>
      <c r="B192" s="29">
        <v>3164214300</v>
      </c>
      <c r="C192" s="29">
        <v>1270140000</v>
      </c>
      <c r="D192" s="29"/>
      <c r="E192" s="29"/>
      <c r="F192" s="29">
        <f t="shared" si="23"/>
        <v>4434354300</v>
      </c>
      <c r="G192" s="29">
        <f t="shared" si="24"/>
        <v>1197276</v>
      </c>
      <c r="H192" s="31">
        <v>1156704200</v>
      </c>
      <c r="I192" s="31">
        <v>15318000000</v>
      </c>
      <c r="J192" s="31">
        <f>H192+I192</f>
        <v>16474704200</v>
      </c>
      <c r="K192" s="31"/>
      <c r="L192" s="31"/>
      <c r="M192" s="31"/>
      <c r="N192" s="31"/>
      <c r="O192" s="31">
        <f t="shared" si="25"/>
        <v>2882164</v>
      </c>
      <c r="P192" s="33">
        <v>328825</v>
      </c>
      <c r="Q192" s="34">
        <v>43962</v>
      </c>
      <c r="R192" s="34">
        <v>32</v>
      </c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>
        <f>982*2550</f>
        <v>2504100</v>
      </c>
      <c r="AK192" s="34">
        <f t="shared" si="28"/>
        <v>86400</v>
      </c>
      <c r="AL192" s="33"/>
      <c r="AM192" s="33">
        <v>700000</v>
      </c>
      <c r="AN192" s="12">
        <f t="shared" si="18"/>
        <v>7698765</v>
      </c>
      <c r="AO192" s="99">
        <f t="shared" si="19"/>
        <v>679156402</v>
      </c>
      <c r="AQ192" s="55">
        <v>14089961959992</v>
      </c>
      <c r="AR192" s="55">
        <v>38404556000</v>
      </c>
      <c r="AS192" s="55">
        <v>31792704200</v>
      </c>
      <c r="AT192" s="55">
        <v>36227058500</v>
      </c>
      <c r="AU192" s="12">
        <v>7698765</v>
      </c>
      <c r="AV192" s="99">
        <v>679156402</v>
      </c>
    </row>
    <row r="193" spans="1:48" ht="15" customHeight="1">
      <c r="A193" s="28">
        <v>43963</v>
      </c>
      <c r="B193" s="29">
        <v>9736323700</v>
      </c>
      <c r="C193" s="29">
        <v>2575721500</v>
      </c>
      <c r="D193" s="29"/>
      <c r="E193" s="29"/>
      <c r="F193" s="29">
        <f t="shared" si="23"/>
        <v>12312045200</v>
      </c>
      <c r="G193" s="29">
        <f t="shared" si="24"/>
        <v>3324252</v>
      </c>
      <c r="H193" s="31">
        <v>10389903600</v>
      </c>
      <c r="I193" s="31">
        <v>8243323000</v>
      </c>
      <c r="J193" s="31">
        <v>18633226600</v>
      </c>
      <c r="K193" s="31"/>
      <c r="L193" s="31"/>
      <c r="M193" s="31"/>
      <c r="N193" s="31"/>
      <c r="O193" s="31">
        <f t="shared" si="25"/>
        <v>2605908</v>
      </c>
      <c r="P193" s="33">
        <f>1078610*0.3</f>
        <v>323583</v>
      </c>
      <c r="Q193" s="34">
        <v>43963</v>
      </c>
      <c r="R193" s="34">
        <v>179</v>
      </c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>
        <f>803*2550</f>
        <v>2047650</v>
      </c>
      <c r="AK193" s="34">
        <f t="shared" si="28"/>
        <v>483300</v>
      </c>
      <c r="AL193" s="33"/>
      <c r="AM193" s="33">
        <v>700000</v>
      </c>
      <c r="AN193" s="12">
        <f t="shared" si="18"/>
        <v>9484693</v>
      </c>
      <c r="AO193" s="99">
        <f t="shared" si="19"/>
        <v>688641095</v>
      </c>
      <c r="AQ193" s="55">
        <v>13233900603080</v>
      </c>
      <c r="AR193" s="55">
        <v>67376233000</v>
      </c>
      <c r="AS193" s="55">
        <v>26876549600</v>
      </c>
      <c r="AT193" s="55">
        <v>39188594800</v>
      </c>
      <c r="AU193" s="12">
        <v>9484693</v>
      </c>
      <c r="AV193" s="99">
        <v>688641095</v>
      </c>
    </row>
    <row r="194" spans="1:48" ht="15" customHeight="1">
      <c r="A194" s="28">
        <v>43964</v>
      </c>
      <c r="B194" s="29">
        <v>14110515600</v>
      </c>
      <c r="C194" s="29">
        <v>5111321000</v>
      </c>
      <c r="D194" s="29"/>
      <c r="E194" s="29"/>
      <c r="F194" s="29">
        <f t="shared" si="23"/>
        <v>19221836600</v>
      </c>
      <c r="G194" s="29">
        <f t="shared" si="24"/>
        <v>5189896</v>
      </c>
      <c r="H194" s="31">
        <v>2341469800</v>
      </c>
      <c r="I194" s="31">
        <v>0</v>
      </c>
      <c r="J194" s="31">
        <f t="shared" ref="J194:J199" si="30">H194+I194</f>
        <v>2341469800</v>
      </c>
      <c r="K194" s="31"/>
      <c r="L194" s="31"/>
      <c r="M194" s="31"/>
      <c r="N194" s="31"/>
      <c r="O194" s="31">
        <f t="shared" si="25"/>
        <v>252879</v>
      </c>
      <c r="P194" s="33">
        <f>559110*0.3</f>
        <v>167733</v>
      </c>
      <c r="Q194" s="34">
        <v>43964</v>
      </c>
      <c r="R194" s="34">
        <v>91</v>
      </c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>
        <f>712*2550</f>
        <v>1815600</v>
      </c>
      <c r="AK194" s="34">
        <f t="shared" si="28"/>
        <v>245700</v>
      </c>
      <c r="AL194" s="33"/>
      <c r="AM194" s="33">
        <v>700000</v>
      </c>
      <c r="AN194" s="12">
        <f t="shared" si="18"/>
        <v>8371808</v>
      </c>
      <c r="AO194" s="99">
        <f t="shared" si="19"/>
        <v>697012903</v>
      </c>
      <c r="AQ194" s="55">
        <v>15416434563838</v>
      </c>
      <c r="AR194" s="55">
        <v>24014778800</v>
      </c>
      <c r="AS194" s="55">
        <v>2341469800</v>
      </c>
      <c r="AT194" s="55">
        <v>21563306400</v>
      </c>
      <c r="AU194" s="12">
        <v>8371808</v>
      </c>
      <c r="AV194" s="99">
        <v>697012903</v>
      </c>
    </row>
    <row r="195" spans="1:48" ht="15" customHeight="1" thickBot="1">
      <c r="A195" s="28">
        <v>43965</v>
      </c>
      <c r="B195" s="29">
        <v>8295921500</v>
      </c>
      <c r="C195" s="29">
        <v>0</v>
      </c>
      <c r="D195" s="29"/>
      <c r="E195" s="29"/>
      <c r="F195" s="29">
        <f t="shared" si="23"/>
        <v>8295921500</v>
      </c>
      <c r="G195" s="29">
        <f t="shared" si="24"/>
        <v>2239899</v>
      </c>
      <c r="H195" s="31">
        <v>207899500</v>
      </c>
      <c r="I195" s="31">
        <v>0</v>
      </c>
      <c r="J195" s="31">
        <f t="shared" si="30"/>
        <v>207899500</v>
      </c>
      <c r="K195" s="31"/>
      <c r="L195" s="31"/>
      <c r="M195" s="31"/>
      <c r="N195" s="31"/>
      <c r="O195" s="31">
        <f t="shared" si="25"/>
        <v>22453</v>
      </c>
      <c r="P195" s="33">
        <f>221930*0.3</f>
        <v>66579</v>
      </c>
      <c r="Q195" s="34">
        <v>43965</v>
      </c>
      <c r="R195" s="34">
        <v>150</v>
      </c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>
        <f>562*2550</f>
        <v>1433100</v>
      </c>
      <c r="AK195" s="34">
        <f t="shared" si="28"/>
        <v>405000</v>
      </c>
      <c r="AL195" s="33"/>
      <c r="AM195" s="33"/>
      <c r="AN195" s="12">
        <f t="shared" si="18"/>
        <v>4167031</v>
      </c>
      <c r="AO195" s="99">
        <f t="shared" si="19"/>
        <v>701179934</v>
      </c>
      <c r="AQ195" s="55">
        <v>16638358759800</v>
      </c>
      <c r="AR195" s="55">
        <v>27044250400</v>
      </c>
      <c r="AS195" s="55">
        <v>207899500</v>
      </c>
      <c r="AT195" s="55">
        <v>8503821000</v>
      </c>
      <c r="AU195" s="12">
        <v>4167031</v>
      </c>
      <c r="AV195" s="99">
        <v>701179934</v>
      </c>
    </row>
    <row r="196" spans="1:48" ht="15" customHeight="1">
      <c r="A196" s="41">
        <v>43966</v>
      </c>
      <c r="B196" s="36">
        <v>13260971100</v>
      </c>
      <c r="C196" s="36">
        <v>0</v>
      </c>
      <c r="D196" s="30"/>
      <c r="E196" s="30"/>
      <c r="F196" s="29">
        <f t="shared" si="23"/>
        <v>13260971100</v>
      </c>
      <c r="G196" s="36">
        <f t="shared" si="24"/>
        <v>3580462</v>
      </c>
      <c r="H196" s="37">
        <v>386258200</v>
      </c>
      <c r="I196" s="37">
        <v>0</v>
      </c>
      <c r="J196" s="37">
        <f t="shared" si="30"/>
        <v>386258200</v>
      </c>
      <c r="K196" s="37"/>
      <c r="L196" s="37">
        <v>121000000</v>
      </c>
      <c r="M196" s="37"/>
      <c r="N196" s="37"/>
      <c r="O196" s="37">
        <f t="shared" ref="O196:O215" si="31">ROUND(H196*0.0108%+I196*0.018%+K196*0.018%+L196*0.018%,0)</f>
        <v>63496</v>
      </c>
      <c r="P196" s="38">
        <f>390520*0.3</f>
        <v>117156</v>
      </c>
      <c r="Q196" s="39">
        <v>43966</v>
      </c>
      <c r="R196" s="39">
        <v>246</v>
      </c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>
        <f>316*2550*3</f>
        <v>2417400</v>
      </c>
      <c r="AK196" s="39">
        <f t="shared" si="28"/>
        <v>664200</v>
      </c>
      <c r="AL196" s="38"/>
      <c r="AM196" s="38"/>
      <c r="AN196" s="12">
        <f t="shared" si="18"/>
        <v>6842714</v>
      </c>
      <c r="AO196" s="99">
        <f t="shared" si="19"/>
        <v>708022648</v>
      </c>
      <c r="AQ196" s="55">
        <v>12911822038232</v>
      </c>
      <c r="AR196" s="55">
        <v>22856797600</v>
      </c>
      <c r="AS196" s="55">
        <v>386777800</v>
      </c>
      <c r="AT196" s="55">
        <v>13768748900</v>
      </c>
      <c r="AU196" s="12">
        <v>6842714</v>
      </c>
      <c r="AV196" s="99">
        <v>708022648</v>
      </c>
    </row>
    <row r="197" spans="1:48" ht="15" customHeight="1">
      <c r="A197" s="41">
        <v>43969</v>
      </c>
      <c r="B197" s="29">
        <v>0</v>
      </c>
      <c r="C197" s="29">
        <v>0</v>
      </c>
      <c r="D197" s="29"/>
      <c r="E197" s="29"/>
      <c r="F197" s="29">
        <f t="shared" si="23"/>
        <v>0</v>
      </c>
      <c r="G197" s="29">
        <f t="shared" si="24"/>
        <v>0</v>
      </c>
      <c r="H197" s="31">
        <v>8314348900</v>
      </c>
      <c r="I197" s="32">
        <v>0</v>
      </c>
      <c r="J197" s="32">
        <f t="shared" si="30"/>
        <v>8314348900</v>
      </c>
      <c r="K197" s="31"/>
      <c r="L197" s="31">
        <v>1189500000</v>
      </c>
      <c r="M197" s="31"/>
      <c r="N197" s="31"/>
      <c r="O197" s="31">
        <f t="shared" si="31"/>
        <v>1112060</v>
      </c>
      <c r="P197" s="33">
        <f>636890*0.3</f>
        <v>191067</v>
      </c>
      <c r="Q197" s="42">
        <v>43969</v>
      </c>
      <c r="R197" s="34">
        <v>36</v>
      </c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>
        <f>280*2550</f>
        <v>714000</v>
      </c>
      <c r="AK197" s="34">
        <f t="shared" si="28"/>
        <v>97200</v>
      </c>
      <c r="AL197" s="33"/>
      <c r="AM197" s="33"/>
      <c r="AN197" s="12">
        <f t="shared" ref="AN197:AN228" si="32">AM197+AL197+AK197+AJ197+P197+O197+G197</f>
        <v>2114327</v>
      </c>
      <c r="AO197" s="99">
        <f t="shared" si="19"/>
        <v>710136975</v>
      </c>
      <c r="AQ197" s="55">
        <v>10774520256220</v>
      </c>
      <c r="AR197" s="55">
        <v>28513466800</v>
      </c>
      <c r="AS197" s="55">
        <v>8314348900</v>
      </c>
      <c r="AT197" s="55">
        <v>9503848900</v>
      </c>
      <c r="AU197" s="12">
        <v>2114327</v>
      </c>
      <c r="AV197" s="99">
        <v>710136975</v>
      </c>
    </row>
    <row r="198" spans="1:48" ht="15" customHeight="1">
      <c r="A198" s="41">
        <v>43970</v>
      </c>
      <c r="B198" s="29">
        <v>12685424900</v>
      </c>
      <c r="C198" s="29">
        <v>0</v>
      </c>
      <c r="D198" s="29"/>
      <c r="E198" s="29"/>
      <c r="F198" s="29">
        <f t="shared" si="23"/>
        <v>12685424900</v>
      </c>
      <c r="G198" s="29">
        <f t="shared" si="24"/>
        <v>3425065</v>
      </c>
      <c r="H198" s="31">
        <v>268400</v>
      </c>
      <c r="I198" s="31">
        <v>12351000000</v>
      </c>
      <c r="J198" s="32">
        <f t="shared" si="30"/>
        <v>12351268400</v>
      </c>
      <c r="K198" s="31"/>
      <c r="L198" s="31"/>
      <c r="M198" s="31"/>
      <c r="N198" s="31"/>
      <c r="O198" s="31">
        <f t="shared" si="31"/>
        <v>2223209</v>
      </c>
      <c r="P198" s="33">
        <f>920020*0.3</f>
        <v>276006</v>
      </c>
      <c r="Q198" s="42">
        <v>43970</v>
      </c>
      <c r="R198" s="34">
        <v>149</v>
      </c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>
        <f>275*2550</f>
        <v>701250</v>
      </c>
      <c r="AK198" s="34">
        <f t="shared" si="28"/>
        <v>402300</v>
      </c>
      <c r="AL198" s="33"/>
      <c r="AM198" s="33"/>
      <c r="AN198" s="12">
        <f t="shared" si="32"/>
        <v>7027830</v>
      </c>
      <c r="AO198" s="99">
        <f t="shared" ref="AO198:AO228" si="33">AO197+AN198</f>
        <v>717164805</v>
      </c>
      <c r="AQ198" s="55">
        <v>20459241943360</v>
      </c>
      <c r="AR198" s="55">
        <v>99743673400</v>
      </c>
      <c r="AS198" s="55">
        <v>24702268400</v>
      </c>
      <c r="AT198" s="55">
        <v>37387693300</v>
      </c>
      <c r="AU198" s="12">
        <v>7027830</v>
      </c>
      <c r="AV198" s="99">
        <v>717164805</v>
      </c>
    </row>
    <row r="199" spans="1:48" ht="15" customHeight="1">
      <c r="A199" s="41">
        <v>43971</v>
      </c>
      <c r="B199" s="29">
        <v>4884846000</v>
      </c>
      <c r="C199" s="29">
        <v>0</v>
      </c>
      <c r="D199" s="29"/>
      <c r="E199" s="29"/>
      <c r="F199" s="29">
        <f t="shared" si="23"/>
        <v>4884846000</v>
      </c>
      <c r="G199" s="29">
        <f t="shared" si="24"/>
        <v>1318908</v>
      </c>
      <c r="H199" s="31">
        <v>2672000</v>
      </c>
      <c r="I199" s="31">
        <v>268200000</v>
      </c>
      <c r="J199" s="32">
        <f t="shared" si="30"/>
        <v>270872000</v>
      </c>
      <c r="K199" s="31"/>
      <c r="L199" s="31">
        <v>125500000</v>
      </c>
      <c r="M199" s="31"/>
      <c r="N199" s="31"/>
      <c r="O199" s="31">
        <f t="shared" si="31"/>
        <v>71155</v>
      </c>
      <c r="P199" s="33">
        <f>30000*0.3</f>
        <v>9000</v>
      </c>
      <c r="Q199" s="42">
        <v>43971</v>
      </c>
      <c r="R199" s="34">
        <v>68</v>
      </c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>
        <f>329*2550</f>
        <v>838950</v>
      </c>
      <c r="AK199" s="34">
        <f t="shared" si="28"/>
        <v>183600</v>
      </c>
      <c r="AL199" s="33"/>
      <c r="AM199" s="33"/>
      <c r="AN199" s="12">
        <f t="shared" si="32"/>
        <v>2421613</v>
      </c>
      <c r="AO199" s="99">
        <f t="shared" si="33"/>
        <v>719586418</v>
      </c>
      <c r="AQ199" s="55">
        <v>10725995533840</v>
      </c>
      <c r="AR199" s="55">
        <v>61289998000</v>
      </c>
      <c r="AS199" s="55">
        <v>807271000</v>
      </c>
      <c r="AT199" s="55">
        <v>5817617000</v>
      </c>
      <c r="AU199" s="12">
        <v>2421613</v>
      </c>
      <c r="AV199" s="99">
        <v>719586418</v>
      </c>
    </row>
    <row r="200" spans="1:48" ht="15" customHeight="1" thickBot="1">
      <c r="A200" s="41">
        <v>43972</v>
      </c>
      <c r="B200" s="29">
        <v>8798853600</v>
      </c>
      <c r="C200" s="29">
        <v>1002738000</v>
      </c>
      <c r="D200" s="29"/>
      <c r="E200" s="29"/>
      <c r="F200" s="29">
        <f t="shared" si="23"/>
        <v>9801591600</v>
      </c>
      <c r="G200" s="29">
        <f t="shared" si="24"/>
        <v>2646430</v>
      </c>
      <c r="H200" s="31">
        <v>2065888700</v>
      </c>
      <c r="I200" s="31">
        <v>0</v>
      </c>
      <c r="J200" s="31">
        <v>2065888700</v>
      </c>
      <c r="K200" s="31"/>
      <c r="L200" s="31">
        <v>0</v>
      </c>
      <c r="M200" s="31"/>
      <c r="N200" s="31"/>
      <c r="O200" s="31">
        <f t="shared" si="31"/>
        <v>223116</v>
      </c>
      <c r="P200" s="33">
        <v>46113</v>
      </c>
      <c r="Q200" s="42">
        <v>43972</v>
      </c>
      <c r="R200" s="34">
        <f>145+232</f>
        <v>377</v>
      </c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>
        <f>472*2550</f>
        <v>1203600</v>
      </c>
      <c r="AK200" s="34">
        <f t="shared" ref="AK200:AK228" si="34">R200*2700</f>
        <v>1017900</v>
      </c>
      <c r="AL200" s="33"/>
      <c r="AM200" s="33">
        <v>700000</v>
      </c>
      <c r="AN200" s="12">
        <f t="shared" si="32"/>
        <v>5837159</v>
      </c>
      <c r="AO200" s="99">
        <f t="shared" si="33"/>
        <v>725423577</v>
      </c>
      <c r="AQ200" s="55">
        <v>13160478062446</v>
      </c>
      <c r="AR200" s="55">
        <v>23928344800</v>
      </c>
      <c r="AS200" s="55">
        <v>2065888700</v>
      </c>
      <c r="AT200" s="55">
        <v>11867480300</v>
      </c>
      <c r="AU200" s="12">
        <v>5837159</v>
      </c>
      <c r="AV200" s="99">
        <v>725423577</v>
      </c>
    </row>
    <row r="201" spans="1:48" ht="15" customHeight="1">
      <c r="A201" s="41">
        <v>43973</v>
      </c>
      <c r="B201" s="36">
        <v>3977544100</v>
      </c>
      <c r="C201" s="36"/>
      <c r="D201" s="30"/>
      <c r="E201" s="30"/>
      <c r="F201" s="29">
        <f t="shared" si="23"/>
        <v>3977544100</v>
      </c>
      <c r="G201" s="36">
        <f t="shared" si="24"/>
        <v>1073937</v>
      </c>
      <c r="H201" s="37">
        <v>18886980700</v>
      </c>
      <c r="I201" s="37">
        <v>26846000000</v>
      </c>
      <c r="J201" s="37">
        <f t="shared" ref="J201:J264" si="35">H201+I201</f>
        <v>45732980700</v>
      </c>
      <c r="K201" s="37"/>
      <c r="L201" s="37"/>
      <c r="M201" s="37"/>
      <c r="N201" s="37"/>
      <c r="O201" s="37">
        <f t="shared" si="31"/>
        <v>6872074</v>
      </c>
      <c r="P201" s="38">
        <v>333374</v>
      </c>
      <c r="Q201" s="39">
        <v>43973</v>
      </c>
      <c r="R201" s="39">
        <v>88</v>
      </c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>
        <f>182*2550*3</f>
        <v>1392300</v>
      </c>
      <c r="AK201" s="39">
        <f t="shared" si="34"/>
        <v>237600</v>
      </c>
      <c r="AL201" s="38"/>
      <c r="AM201" s="38"/>
      <c r="AN201" s="12">
        <f t="shared" si="32"/>
        <v>9909285</v>
      </c>
      <c r="AO201" s="99">
        <f t="shared" si="33"/>
        <v>735332862</v>
      </c>
      <c r="AQ201" s="55">
        <v>12664234522606</v>
      </c>
      <c r="AR201" s="55">
        <v>399793648400</v>
      </c>
      <c r="AS201" s="55">
        <v>72578980700</v>
      </c>
      <c r="AT201" s="55">
        <v>76556524800</v>
      </c>
      <c r="AU201" s="12">
        <v>9909285</v>
      </c>
      <c r="AV201" s="99">
        <v>735332862</v>
      </c>
    </row>
    <row r="202" spans="1:48" ht="15" customHeight="1">
      <c r="A202" s="41">
        <v>43976</v>
      </c>
      <c r="B202" s="29">
        <f>5147481300-L202</f>
        <v>3932481300</v>
      </c>
      <c r="C202" s="29"/>
      <c r="D202" s="29"/>
      <c r="E202" s="29"/>
      <c r="F202" s="29">
        <f t="shared" si="23"/>
        <v>3932481300</v>
      </c>
      <c r="G202" s="29">
        <f t="shared" si="24"/>
        <v>1061770</v>
      </c>
      <c r="H202" s="31">
        <v>4408834600</v>
      </c>
      <c r="I202" s="31">
        <v>29357000000</v>
      </c>
      <c r="J202" s="32">
        <f t="shared" si="35"/>
        <v>33765834600</v>
      </c>
      <c r="K202" s="31"/>
      <c r="L202" s="31">
        <v>1215000000</v>
      </c>
      <c r="M202" s="31"/>
      <c r="N202" s="31"/>
      <c r="O202" s="31">
        <f t="shared" si="31"/>
        <v>5979114</v>
      </c>
      <c r="P202" s="33">
        <f>532850*0.3</f>
        <v>159855</v>
      </c>
      <c r="Q202" s="42">
        <v>43976</v>
      </c>
      <c r="R202" s="34">
        <v>88</v>
      </c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>
        <f>270*2550</f>
        <v>688500</v>
      </c>
      <c r="AK202" s="34">
        <f t="shared" si="34"/>
        <v>237600</v>
      </c>
      <c r="AL202" s="33"/>
      <c r="AM202" s="33"/>
      <c r="AN202" s="12">
        <f t="shared" si="32"/>
        <v>8126839</v>
      </c>
      <c r="AO202" s="99">
        <f t="shared" si="33"/>
        <v>743459701</v>
      </c>
      <c r="AQ202" s="55">
        <v>14528110224780</v>
      </c>
      <c r="AR202" s="55">
        <v>167024501200</v>
      </c>
      <c r="AS202" s="55">
        <v>60461834600</v>
      </c>
      <c r="AT202" s="55">
        <v>65609315900</v>
      </c>
      <c r="AU202" s="12">
        <v>8126839</v>
      </c>
      <c r="AV202" s="99">
        <v>743459701</v>
      </c>
    </row>
    <row r="203" spans="1:48" ht="15" customHeight="1">
      <c r="A203" s="41">
        <v>43977</v>
      </c>
      <c r="B203" s="29">
        <v>0</v>
      </c>
      <c r="C203" s="29">
        <v>0</v>
      </c>
      <c r="D203" s="29"/>
      <c r="E203" s="29"/>
      <c r="F203" s="29">
        <f t="shared" si="23"/>
        <v>0</v>
      </c>
      <c r="G203" s="29">
        <f t="shared" si="24"/>
        <v>0</v>
      </c>
      <c r="H203" s="31">
        <v>2796200800</v>
      </c>
      <c r="I203" s="31"/>
      <c r="J203" s="32">
        <f t="shared" si="35"/>
        <v>2796200800</v>
      </c>
      <c r="K203" s="31"/>
      <c r="L203" s="31"/>
      <c r="M203" s="31"/>
      <c r="N203" s="31"/>
      <c r="O203" s="31">
        <f t="shared" si="31"/>
        <v>301990</v>
      </c>
      <c r="P203" s="33">
        <f>206760*0.3</f>
        <v>62028</v>
      </c>
      <c r="Q203" s="42">
        <v>43977</v>
      </c>
      <c r="R203" s="34">
        <v>354</v>
      </c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>
        <f>624*2550</f>
        <v>1591200</v>
      </c>
      <c r="AK203" s="34">
        <f t="shared" si="34"/>
        <v>955800</v>
      </c>
      <c r="AL203" s="33"/>
      <c r="AM203" s="33"/>
      <c r="AN203" s="12">
        <f t="shared" si="32"/>
        <v>2911018</v>
      </c>
      <c r="AO203" s="99">
        <f t="shared" si="33"/>
        <v>746370719</v>
      </c>
      <c r="AQ203" s="55">
        <v>13173925306978</v>
      </c>
      <c r="AR203" s="55">
        <v>26551459600</v>
      </c>
      <c r="AS203" s="55">
        <v>2796200800</v>
      </c>
      <c r="AT203" s="55">
        <v>2796200800</v>
      </c>
      <c r="AU203" s="12">
        <v>2911018</v>
      </c>
      <c r="AV203" s="99">
        <v>746370719</v>
      </c>
    </row>
    <row r="204" spans="1:48" ht="15" customHeight="1">
      <c r="A204" s="41">
        <v>43978</v>
      </c>
      <c r="B204" s="29">
        <v>0</v>
      </c>
      <c r="C204" s="29">
        <v>6739187000</v>
      </c>
      <c r="D204" s="29"/>
      <c r="E204" s="29"/>
      <c r="F204" s="29">
        <f t="shared" si="23"/>
        <v>6739187000</v>
      </c>
      <c r="G204" s="29">
        <f t="shared" si="24"/>
        <v>1819580</v>
      </c>
      <c r="H204" s="31">
        <v>1915891500</v>
      </c>
      <c r="I204" s="31">
        <v>5350000000</v>
      </c>
      <c r="J204" s="32">
        <f t="shared" si="35"/>
        <v>7265891500</v>
      </c>
      <c r="K204" s="31"/>
      <c r="L204" s="31"/>
      <c r="M204" s="31"/>
      <c r="N204" s="31"/>
      <c r="O204" s="31">
        <f t="shared" si="31"/>
        <v>1169916</v>
      </c>
      <c r="P204" s="33">
        <f>91410*0.3</f>
        <v>27423</v>
      </c>
      <c r="Q204" s="42">
        <v>43978</v>
      </c>
      <c r="R204" s="34">
        <v>88</v>
      </c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>
        <f>712*2550</f>
        <v>1815600</v>
      </c>
      <c r="AK204" s="34">
        <f t="shared" si="34"/>
        <v>237600</v>
      </c>
      <c r="AL204" s="33"/>
      <c r="AM204" s="33">
        <v>700000</v>
      </c>
      <c r="AN204" s="12">
        <f t="shared" si="32"/>
        <v>5770119</v>
      </c>
      <c r="AO204" s="99">
        <f t="shared" si="33"/>
        <v>752140838</v>
      </c>
      <c r="AQ204" s="55">
        <v>15831861649770</v>
      </c>
      <c r="AR204" s="55">
        <v>108489982600</v>
      </c>
      <c r="AS204" s="55">
        <v>13294891500</v>
      </c>
      <c r="AT204" s="55">
        <v>20034078500</v>
      </c>
      <c r="AU204" s="12">
        <v>5770119</v>
      </c>
      <c r="AV204" s="99">
        <v>752140838</v>
      </c>
    </row>
    <row r="205" spans="1:48" ht="15" customHeight="1">
      <c r="A205" s="41">
        <v>43979</v>
      </c>
      <c r="B205" s="29">
        <v>18190300700</v>
      </c>
      <c r="C205" s="29">
        <v>6158147500</v>
      </c>
      <c r="D205" s="29"/>
      <c r="E205" s="29"/>
      <c r="F205" s="29">
        <f t="shared" si="23"/>
        <v>24348448200</v>
      </c>
      <c r="G205" s="29">
        <f t="shared" si="24"/>
        <v>6574081</v>
      </c>
      <c r="H205" s="31">
        <v>4404700600</v>
      </c>
      <c r="I205" s="31">
        <v>13368000000</v>
      </c>
      <c r="J205" s="32">
        <f t="shared" si="35"/>
        <v>17772700600</v>
      </c>
      <c r="K205" s="31"/>
      <c r="L205" s="31"/>
      <c r="M205" s="31"/>
      <c r="N205" s="31"/>
      <c r="O205" s="31">
        <f t="shared" si="31"/>
        <v>2881948</v>
      </c>
      <c r="P205" s="33">
        <f>730090*0.3</f>
        <v>219027</v>
      </c>
      <c r="Q205" s="42">
        <v>43979</v>
      </c>
      <c r="R205" s="34">
        <v>126</v>
      </c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>
        <f>586*2550</f>
        <v>1494300</v>
      </c>
      <c r="AK205" s="34">
        <f t="shared" si="34"/>
        <v>340200</v>
      </c>
      <c r="AL205" s="33"/>
      <c r="AM205" s="33">
        <v>0</v>
      </c>
      <c r="AN205" s="12">
        <f t="shared" si="32"/>
        <v>11509556</v>
      </c>
      <c r="AO205" s="99">
        <f t="shared" si="33"/>
        <v>763650394</v>
      </c>
      <c r="AQ205" s="55">
        <v>16038607376718</v>
      </c>
      <c r="AR205" s="55">
        <v>122589196000</v>
      </c>
      <c r="AS205" s="55">
        <v>31140700600</v>
      </c>
      <c r="AT205" s="55">
        <v>55489148800</v>
      </c>
      <c r="AU205" s="12">
        <v>11509556</v>
      </c>
      <c r="AV205" s="99">
        <v>763650394</v>
      </c>
    </row>
    <row r="206" spans="1:48" ht="15" customHeight="1">
      <c r="A206" s="41">
        <v>43980</v>
      </c>
      <c r="B206" s="30">
        <v>3594343300</v>
      </c>
      <c r="C206" s="30">
        <v>1245381000</v>
      </c>
      <c r="D206" s="30"/>
      <c r="E206" s="30"/>
      <c r="F206" s="29">
        <f t="shared" si="23"/>
        <v>4839724300</v>
      </c>
      <c r="G206" s="29">
        <f t="shared" si="24"/>
        <v>1306726</v>
      </c>
      <c r="H206" s="32">
        <v>1165929700</v>
      </c>
      <c r="I206" s="32">
        <v>10639000000</v>
      </c>
      <c r="J206" s="32">
        <f t="shared" si="35"/>
        <v>11804929700</v>
      </c>
      <c r="K206" s="32"/>
      <c r="L206" s="32"/>
      <c r="M206" s="32"/>
      <c r="N206" s="32"/>
      <c r="O206" s="31">
        <f t="shared" si="31"/>
        <v>2040940</v>
      </c>
      <c r="P206" s="46">
        <f>107500*0.3</f>
        <v>32250</v>
      </c>
      <c r="Q206" s="42">
        <v>43980</v>
      </c>
      <c r="R206" s="42">
        <v>46</v>
      </c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>
        <f>624*2550*3</f>
        <v>4773600</v>
      </c>
      <c r="AK206" s="42">
        <f t="shared" si="34"/>
        <v>124200</v>
      </c>
      <c r="AL206" s="46"/>
      <c r="AM206" s="46">
        <v>1600000</v>
      </c>
      <c r="AN206" s="12">
        <f t="shared" si="32"/>
        <v>9877716</v>
      </c>
      <c r="AO206" s="99">
        <f t="shared" si="33"/>
        <v>773528110</v>
      </c>
      <c r="AQ206" s="55">
        <v>11486402359740</v>
      </c>
      <c r="AR206" s="55">
        <v>78442650000</v>
      </c>
      <c r="AS206" s="55">
        <v>22679607100</v>
      </c>
      <c r="AT206" s="55">
        <v>27519331400</v>
      </c>
      <c r="AU206" s="12">
        <v>9877716</v>
      </c>
      <c r="AV206" s="99">
        <v>773528110</v>
      </c>
    </row>
    <row r="207" spans="1:48" ht="15" customHeight="1">
      <c r="A207" s="47">
        <v>43983</v>
      </c>
      <c r="B207" s="29">
        <v>4422401300</v>
      </c>
      <c r="C207" s="29">
        <v>3990171000</v>
      </c>
      <c r="D207" s="29"/>
      <c r="E207" s="29"/>
      <c r="F207" s="29">
        <f t="shared" si="23"/>
        <v>8412572300</v>
      </c>
      <c r="G207" s="29">
        <f t="shared" si="24"/>
        <v>2271395</v>
      </c>
      <c r="H207" s="57">
        <v>2671889600</v>
      </c>
      <c r="I207" s="31">
        <v>2706000000</v>
      </c>
      <c r="J207" s="32">
        <f t="shared" si="35"/>
        <v>5377889600</v>
      </c>
      <c r="K207" s="57"/>
      <c r="L207" s="57"/>
      <c r="M207" s="57"/>
      <c r="N207" s="57"/>
      <c r="O207" s="31">
        <f t="shared" si="31"/>
        <v>775644</v>
      </c>
      <c r="P207" s="33">
        <f>261540*0.3</f>
        <v>78462</v>
      </c>
      <c r="Q207" s="116">
        <v>43983</v>
      </c>
      <c r="R207" s="60">
        <v>46</v>
      </c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34">
        <f>666*2550</f>
        <v>1698300</v>
      </c>
      <c r="AK207" s="34">
        <f t="shared" si="34"/>
        <v>124200</v>
      </c>
      <c r="AL207" s="33"/>
      <c r="AM207" s="33">
        <f>600000+1600000</f>
        <v>2200000</v>
      </c>
      <c r="AN207" s="12">
        <f t="shared" si="32"/>
        <v>7148001</v>
      </c>
      <c r="AO207" s="99">
        <f t="shared" si="33"/>
        <v>780676111</v>
      </c>
      <c r="AQ207" s="55">
        <v>17339395955420</v>
      </c>
      <c r="AR207" s="55">
        <v>16967431000</v>
      </c>
      <c r="AS207" s="55">
        <v>8101013000</v>
      </c>
      <c r="AT207" s="55">
        <v>16513585300</v>
      </c>
      <c r="AU207" s="12">
        <v>7148001</v>
      </c>
      <c r="AV207" s="99">
        <v>780676111</v>
      </c>
    </row>
    <row r="208" spans="1:48" ht="15" customHeight="1">
      <c r="A208" s="47">
        <v>43984</v>
      </c>
      <c r="B208" s="29">
        <v>918091900</v>
      </c>
      <c r="C208" s="29">
        <v>3264840000</v>
      </c>
      <c r="D208" s="29"/>
      <c r="E208" s="29"/>
      <c r="F208" s="29">
        <f t="shared" si="23"/>
        <v>4182931900</v>
      </c>
      <c r="G208" s="29">
        <f t="shared" si="24"/>
        <v>1129392</v>
      </c>
      <c r="H208" s="31">
        <v>2024893500</v>
      </c>
      <c r="I208" s="31">
        <v>0</v>
      </c>
      <c r="J208" s="32">
        <f t="shared" si="35"/>
        <v>2024893500</v>
      </c>
      <c r="K208" s="57"/>
      <c r="L208" s="117"/>
      <c r="M208" s="117"/>
      <c r="N208" s="117"/>
      <c r="O208" s="31">
        <f t="shared" si="31"/>
        <v>218688</v>
      </c>
      <c r="P208" s="33">
        <f>163980*0.3</f>
        <v>49194</v>
      </c>
      <c r="Q208" s="116">
        <v>43984</v>
      </c>
      <c r="R208" s="60">
        <v>83</v>
      </c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34">
        <f>597*2550</f>
        <v>1522350</v>
      </c>
      <c r="AK208" s="34">
        <f t="shared" si="34"/>
        <v>224100</v>
      </c>
      <c r="AL208" s="33"/>
      <c r="AM208" s="33">
        <v>700000</v>
      </c>
      <c r="AN208" s="12">
        <f t="shared" si="32"/>
        <v>3843724</v>
      </c>
      <c r="AO208" s="99">
        <f t="shared" si="33"/>
        <v>784519835</v>
      </c>
      <c r="AQ208" s="55">
        <v>16749813234960</v>
      </c>
      <c r="AR208" s="55">
        <v>29936447800</v>
      </c>
      <c r="AS208" s="55">
        <v>2024893500</v>
      </c>
      <c r="AT208" s="55">
        <v>6207825400</v>
      </c>
      <c r="AU208" s="12">
        <v>3843724</v>
      </c>
      <c r="AV208" s="99">
        <v>784519835</v>
      </c>
    </row>
    <row r="209" spans="1:48" ht="15" customHeight="1">
      <c r="A209" s="47">
        <v>43985</v>
      </c>
      <c r="B209" s="29">
        <f>12161229300-L209</f>
        <v>9709229300</v>
      </c>
      <c r="C209" s="29">
        <v>0</v>
      </c>
      <c r="D209" s="29"/>
      <c r="E209" s="29"/>
      <c r="F209" s="29">
        <f t="shared" si="23"/>
        <v>9709229300</v>
      </c>
      <c r="G209" s="29">
        <f t="shared" si="24"/>
        <v>2621492</v>
      </c>
      <c r="H209" s="57">
        <v>5584695300</v>
      </c>
      <c r="I209" s="31">
        <v>10914000000</v>
      </c>
      <c r="J209" s="32">
        <f t="shared" si="35"/>
        <v>16498695300</v>
      </c>
      <c r="K209" s="57"/>
      <c r="L209" s="31">
        <v>2452000000</v>
      </c>
      <c r="M209" s="31"/>
      <c r="N209" s="31"/>
      <c r="O209" s="31">
        <f t="shared" si="31"/>
        <v>3009027</v>
      </c>
      <c r="P209" s="33">
        <f>75090*0.3</f>
        <v>22527</v>
      </c>
      <c r="Q209" s="116">
        <v>43985</v>
      </c>
      <c r="R209" s="60">
        <v>315</v>
      </c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34">
        <f>912*2550</f>
        <v>2325600</v>
      </c>
      <c r="AK209" s="34">
        <f t="shared" si="34"/>
        <v>850500</v>
      </c>
      <c r="AL209" s="59"/>
      <c r="AM209" s="59"/>
      <c r="AN209" s="12">
        <f t="shared" si="32"/>
        <v>8829146</v>
      </c>
      <c r="AO209" s="99">
        <f t="shared" si="33"/>
        <v>793348981</v>
      </c>
      <c r="AQ209" s="55">
        <v>13483540684560</v>
      </c>
      <c r="AR209" s="55">
        <v>311986865400</v>
      </c>
      <c r="AS209" s="55">
        <v>16498695300</v>
      </c>
      <c r="AT209" s="55">
        <v>28659924600</v>
      </c>
      <c r="AU209" s="12">
        <v>8829146</v>
      </c>
      <c r="AV209" s="99">
        <v>793348981</v>
      </c>
    </row>
    <row r="210" spans="1:48" ht="15.75" customHeight="1" thickBot="1">
      <c r="A210" s="47">
        <v>43986</v>
      </c>
      <c r="B210" s="29">
        <f>10417524700-L210</f>
        <v>10309525900</v>
      </c>
      <c r="C210" s="29">
        <v>0</v>
      </c>
      <c r="D210" s="29"/>
      <c r="E210" s="29"/>
      <c r="F210" s="29">
        <f t="shared" ref="F210:F220" si="36">B210+C210</f>
        <v>10309525900</v>
      </c>
      <c r="G210" s="29">
        <f t="shared" si="24"/>
        <v>2783572</v>
      </c>
      <c r="H210" s="57">
        <v>5522454700</v>
      </c>
      <c r="I210" s="31">
        <v>6870000000</v>
      </c>
      <c r="J210" s="32">
        <f t="shared" si="35"/>
        <v>12392454700</v>
      </c>
      <c r="K210" s="57"/>
      <c r="L210" s="31">
        <v>107998800</v>
      </c>
      <c r="M210" s="31"/>
      <c r="N210" s="31"/>
      <c r="O210" s="31">
        <f t="shared" si="31"/>
        <v>1852465</v>
      </c>
      <c r="P210" s="33">
        <f>427490*0.3</f>
        <v>128247</v>
      </c>
      <c r="Q210" s="116">
        <v>43986</v>
      </c>
      <c r="R210" s="60">
        <v>61</v>
      </c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34">
        <f>869*2550</f>
        <v>2215950</v>
      </c>
      <c r="AK210" s="34">
        <f t="shared" si="34"/>
        <v>164700</v>
      </c>
      <c r="AL210" s="59"/>
      <c r="AM210" s="59"/>
      <c r="AN210" s="12">
        <f t="shared" si="32"/>
        <v>7144934</v>
      </c>
      <c r="AO210" s="99">
        <f t="shared" si="33"/>
        <v>800493915</v>
      </c>
      <c r="AQ210" s="55">
        <v>17110838626438</v>
      </c>
      <c r="AR210" s="55">
        <v>316047793600</v>
      </c>
      <c r="AS210" s="55">
        <v>15545754700</v>
      </c>
      <c r="AT210" s="55">
        <v>25963279400</v>
      </c>
      <c r="AU210" s="12">
        <v>7144934</v>
      </c>
      <c r="AV210" s="99">
        <v>800493915</v>
      </c>
    </row>
    <row r="211" spans="1:48" ht="15" customHeight="1">
      <c r="A211" s="48">
        <v>43987</v>
      </c>
      <c r="B211" s="36">
        <v>4834986000</v>
      </c>
      <c r="C211" s="36">
        <v>1256532500</v>
      </c>
      <c r="D211" s="36"/>
      <c r="E211" s="36"/>
      <c r="F211" s="36">
        <f t="shared" si="36"/>
        <v>6091518500</v>
      </c>
      <c r="G211" s="36">
        <f t="shared" si="24"/>
        <v>1644710</v>
      </c>
      <c r="H211" s="37">
        <v>3130341300</v>
      </c>
      <c r="I211" s="62"/>
      <c r="J211" s="37">
        <f t="shared" si="35"/>
        <v>3130341300</v>
      </c>
      <c r="K211" s="62"/>
      <c r="L211" s="62"/>
      <c r="M211" s="62"/>
      <c r="N211" s="62"/>
      <c r="O211" s="37">
        <f t="shared" si="31"/>
        <v>338077</v>
      </c>
      <c r="P211" s="38">
        <f>147150*0.3</f>
        <v>44145</v>
      </c>
      <c r="Q211" s="64">
        <v>43987</v>
      </c>
      <c r="R211" s="64">
        <v>144</v>
      </c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39">
        <f>833*2550*3</f>
        <v>6372450</v>
      </c>
      <c r="AK211" s="39">
        <f t="shared" si="34"/>
        <v>388800</v>
      </c>
      <c r="AL211" s="38"/>
      <c r="AM211" s="38">
        <v>500000</v>
      </c>
      <c r="AN211" s="12">
        <f t="shared" si="32"/>
        <v>9288182</v>
      </c>
      <c r="AO211" s="99">
        <f t="shared" si="33"/>
        <v>809782097</v>
      </c>
      <c r="AQ211" s="55">
        <v>15541603092608</v>
      </c>
      <c r="AR211" s="55">
        <v>274237591000</v>
      </c>
      <c r="AS211" s="55">
        <v>3431521300</v>
      </c>
      <c r="AT211" s="55">
        <v>9523039800</v>
      </c>
      <c r="AU211" s="12">
        <v>9288182</v>
      </c>
      <c r="AV211" s="99">
        <v>809782097</v>
      </c>
    </row>
    <row r="212" spans="1:48" ht="15" customHeight="1">
      <c r="A212" s="47">
        <v>43990</v>
      </c>
      <c r="B212" s="29">
        <v>5631784000</v>
      </c>
      <c r="C212" s="29">
        <v>2439764000</v>
      </c>
      <c r="D212" s="29"/>
      <c r="E212" s="29"/>
      <c r="F212" s="29">
        <f t="shared" si="36"/>
        <v>8071548000</v>
      </c>
      <c r="G212" s="29">
        <f t="shared" si="24"/>
        <v>2179318</v>
      </c>
      <c r="H212" s="57">
        <v>6208092200</v>
      </c>
      <c r="I212" s="57"/>
      <c r="J212" s="32">
        <f t="shared" si="35"/>
        <v>6208092200</v>
      </c>
      <c r="K212" s="57"/>
      <c r="L212" s="57"/>
      <c r="M212" s="57"/>
      <c r="N212" s="57"/>
      <c r="O212" s="31">
        <f t="shared" si="31"/>
        <v>670474</v>
      </c>
      <c r="P212" s="33">
        <f>182450*0.3</f>
        <v>54735</v>
      </c>
      <c r="Q212" s="116">
        <v>43990</v>
      </c>
      <c r="R212" s="60">
        <v>176</v>
      </c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34">
        <f>787*2550</f>
        <v>2006850</v>
      </c>
      <c r="AK212" s="34">
        <f t="shared" si="34"/>
        <v>475200</v>
      </c>
      <c r="AL212" s="33"/>
      <c r="AM212" s="33">
        <v>700000</v>
      </c>
      <c r="AN212" s="12">
        <f t="shared" si="32"/>
        <v>6086577</v>
      </c>
      <c r="AO212" s="99">
        <f t="shared" si="33"/>
        <v>815868674</v>
      </c>
      <c r="AQ212" s="55">
        <v>20290448118278</v>
      </c>
      <c r="AR212" s="55">
        <v>47756000000</v>
      </c>
      <c r="AS212" s="55">
        <v>13383804000</v>
      </c>
      <c r="AT212" s="55">
        <v>21455352000</v>
      </c>
      <c r="AU212" s="12">
        <v>6086577</v>
      </c>
      <c r="AV212" s="99">
        <v>815868674</v>
      </c>
    </row>
    <row r="213" spans="1:48" ht="15" customHeight="1">
      <c r="A213" s="47">
        <v>43991</v>
      </c>
      <c r="B213" s="29">
        <f>8464735100-L213</f>
        <v>8462082500</v>
      </c>
      <c r="C213" s="29">
        <v>3113800500</v>
      </c>
      <c r="D213" s="29"/>
      <c r="E213" s="29"/>
      <c r="F213" s="29">
        <f t="shared" si="36"/>
        <v>11575883000</v>
      </c>
      <c r="G213" s="29">
        <f t="shared" si="24"/>
        <v>3125488</v>
      </c>
      <c r="H213" s="31">
        <v>2406121000</v>
      </c>
      <c r="I213" s="57"/>
      <c r="J213" s="32">
        <f t="shared" si="35"/>
        <v>2406121000</v>
      </c>
      <c r="K213" s="57"/>
      <c r="L213" s="31">
        <v>2652600</v>
      </c>
      <c r="M213" s="31"/>
      <c r="N213" s="31"/>
      <c r="O213" s="31">
        <f t="shared" si="31"/>
        <v>260339</v>
      </c>
      <c r="P213" s="33">
        <f>377330*0.3</f>
        <v>113199</v>
      </c>
      <c r="Q213" s="116">
        <v>43991</v>
      </c>
      <c r="R213" s="60">
        <v>179</v>
      </c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34">
        <f>608*2550</f>
        <v>1550400</v>
      </c>
      <c r="AK213" s="34">
        <f t="shared" si="34"/>
        <v>483300</v>
      </c>
      <c r="AL213" s="33"/>
      <c r="AM213" s="33">
        <f>700000+11881630</f>
        <v>12581630</v>
      </c>
      <c r="AN213" s="12">
        <f t="shared" si="32"/>
        <v>18114356</v>
      </c>
      <c r="AO213" s="99">
        <f t="shared" si="33"/>
        <v>833983030</v>
      </c>
      <c r="AQ213" s="55">
        <v>16953837455490</v>
      </c>
      <c r="AR213" s="55">
        <v>12476000000</v>
      </c>
      <c r="AS213" s="55">
        <v>2826121000</v>
      </c>
      <c r="AT213" s="55">
        <v>14404656600</v>
      </c>
      <c r="AU213" s="12">
        <v>18114356</v>
      </c>
      <c r="AV213" s="99">
        <v>833983030</v>
      </c>
    </row>
    <row r="214" spans="1:48" ht="15" customHeight="1">
      <c r="A214" s="47">
        <v>43992</v>
      </c>
      <c r="B214" s="29">
        <f>2194726700-L214</f>
        <v>18100000</v>
      </c>
      <c r="C214" s="29">
        <v>0</v>
      </c>
      <c r="D214" s="29"/>
      <c r="E214" s="29"/>
      <c r="F214" s="29">
        <f t="shared" si="36"/>
        <v>18100000</v>
      </c>
      <c r="G214" s="29">
        <f t="shared" si="24"/>
        <v>4887</v>
      </c>
      <c r="H214" s="31">
        <v>2767176600</v>
      </c>
      <c r="I214" s="57"/>
      <c r="J214" s="32">
        <f t="shared" si="35"/>
        <v>2767176600</v>
      </c>
      <c r="K214" s="57"/>
      <c r="L214" s="31">
        <v>2176626700</v>
      </c>
      <c r="M214" s="31"/>
      <c r="N214" s="31"/>
      <c r="O214" s="31">
        <f t="shared" si="31"/>
        <v>690648</v>
      </c>
      <c r="P214" s="33">
        <f>75240*0.3</f>
        <v>22572</v>
      </c>
      <c r="Q214" s="116">
        <v>43992</v>
      </c>
      <c r="R214" s="60">
        <v>67</v>
      </c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34">
        <f>653*2550</f>
        <v>1665150</v>
      </c>
      <c r="AK214" s="34">
        <f t="shared" si="34"/>
        <v>180900</v>
      </c>
      <c r="AL214" s="59"/>
      <c r="AM214" s="59"/>
      <c r="AN214" s="12">
        <f t="shared" si="32"/>
        <v>2564157</v>
      </c>
      <c r="AO214" s="99">
        <f t="shared" si="33"/>
        <v>836547187</v>
      </c>
      <c r="AQ214" s="55">
        <v>17046278337372</v>
      </c>
      <c r="AR214" s="55">
        <v>10728245000</v>
      </c>
      <c r="AS214" s="55">
        <v>5556237800</v>
      </c>
      <c r="AT214" s="55">
        <v>7750964500</v>
      </c>
      <c r="AU214" s="12">
        <v>2564157</v>
      </c>
      <c r="AV214" s="99">
        <v>836547187</v>
      </c>
    </row>
    <row r="215" spans="1:48" ht="15.75" customHeight="1" thickBot="1">
      <c r="A215" s="47">
        <v>43993</v>
      </c>
      <c r="B215" s="29">
        <f>12057590900-L215</f>
        <v>11416902900</v>
      </c>
      <c r="C215" s="29">
        <v>1780260500</v>
      </c>
      <c r="D215" s="29"/>
      <c r="E215" s="29"/>
      <c r="F215" s="29">
        <f t="shared" si="36"/>
        <v>13197163400</v>
      </c>
      <c r="G215" s="29">
        <f t="shared" si="24"/>
        <v>3563234</v>
      </c>
      <c r="H215" s="57">
        <v>6163433000</v>
      </c>
      <c r="I215" s="31">
        <v>8190000000</v>
      </c>
      <c r="J215" s="32">
        <f t="shared" si="35"/>
        <v>14353433000</v>
      </c>
      <c r="K215" s="57"/>
      <c r="L215" s="31">
        <v>640688000</v>
      </c>
      <c r="M215" s="31"/>
      <c r="N215" s="31"/>
      <c r="O215" s="31">
        <f t="shared" si="31"/>
        <v>2255175</v>
      </c>
      <c r="P215" s="33">
        <f>697550*0.3</f>
        <v>209265</v>
      </c>
      <c r="Q215" s="116">
        <v>43993</v>
      </c>
      <c r="R215" s="60">
        <v>281</v>
      </c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34">
        <f>394*2550</f>
        <v>1004700</v>
      </c>
      <c r="AK215" s="34">
        <f t="shared" si="34"/>
        <v>758700</v>
      </c>
      <c r="AL215" s="33"/>
      <c r="AM215" s="33">
        <v>600000</v>
      </c>
      <c r="AN215" s="12">
        <f t="shared" si="32"/>
        <v>8391074</v>
      </c>
      <c r="AO215" s="99">
        <f t="shared" si="33"/>
        <v>844938261</v>
      </c>
      <c r="AQ215" s="55">
        <v>23765353525760</v>
      </c>
      <c r="AR215" s="55">
        <v>53923400400</v>
      </c>
      <c r="AS215" s="55">
        <v>26683173900</v>
      </c>
      <c r="AT215" s="55">
        <v>40521025300</v>
      </c>
      <c r="AU215" s="12">
        <v>8391074</v>
      </c>
      <c r="AV215" s="99">
        <v>844938261</v>
      </c>
    </row>
    <row r="216" spans="1:48" ht="15" customHeight="1">
      <c r="A216" s="48">
        <v>43994</v>
      </c>
      <c r="B216" s="36">
        <f>6634151800-L216-M216</f>
        <v>2770120000</v>
      </c>
      <c r="C216" s="36">
        <v>0</v>
      </c>
      <c r="D216" s="36"/>
      <c r="E216" s="36"/>
      <c r="F216" s="36">
        <f t="shared" si="36"/>
        <v>2770120000</v>
      </c>
      <c r="G216" s="36">
        <f t="shared" si="24"/>
        <v>747932</v>
      </c>
      <c r="H216" s="37">
        <v>695291600</v>
      </c>
      <c r="I216" s="62"/>
      <c r="J216" s="37">
        <f t="shared" si="35"/>
        <v>695291600</v>
      </c>
      <c r="K216" s="62"/>
      <c r="L216" s="37">
        <v>2913031800</v>
      </c>
      <c r="M216" s="37">
        <v>951000000</v>
      </c>
      <c r="N216" s="37"/>
      <c r="O216" s="37">
        <f t="shared" ref="O216:O228" si="37">ROUND(H216*0.0108%+I216*0.018%+K216*0.018%+L216*0.018%+M216*0.018%,0)</f>
        <v>770617</v>
      </c>
      <c r="P216" s="38">
        <f>50030*0.3</f>
        <v>15009</v>
      </c>
      <c r="Q216" s="64">
        <v>43994</v>
      </c>
      <c r="R216" s="64">
        <v>239</v>
      </c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39">
        <f>373*2550*3</f>
        <v>2853450</v>
      </c>
      <c r="AK216" s="39">
        <f t="shared" si="34"/>
        <v>645300</v>
      </c>
      <c r="AL216" s="63"/>
      <c r="AM216" s="63"/>
      <c r="AN216" s="12">
        <f t="shared" si="32"/>
        <v>5032308</v>
      </c>
      <c r="AO216" s="99">
        <f t="shared" si="33"/>
        <v>849970569</v>
      </c>
      <c r="AQ216" s="55">
        <v>17904297759212</v>
      </c>
      <c r="AR216" s="55">
        <v>46684251800</v>
      </c>
      <c r="AS216" s="55">
        <v>6716718800</v>
      </c>
      <c r="AT216" s="55">
        <v>13350870600</v>
      </c>
      <c r="AU216" s="12">
        <v>5032308</v>
      </c>
      <c r="AV216" s="99">
        <v>849970569</v>
      </c>
    </row>
    <row r="217" spans="1:48" ht="15" customHeight="1">
      <c r="A217" s="47">
        <v>43997</v>
      </c>
      <c r="B217" s="29">
        <f>4999478200-K217-L217-M217</f>
        <v>4531978200</v>
      </c>
      <c r="C217" s="29">
        <v>1380663000</v>
      </c>
      <c r="D217" s="29"/>
      <c r="E217" s="29"/>
      <c r="F217" s="29">
        <f t="shared" si="36"/>
        <v>5912641200</v>
      </c>
      <c r="G217" s="29">
        <f t="shared" si="24"/>
        <v>1596413</v>
      </c>
      <c r="H217" s="57">
        <v>2348924600</v>
      </c>
      <c r="I217" s="31">
        <v>13022000000</v>
      </c>
      <c r="J217" s="31">
        <f t="shared" si="35"/>
        <v>15370924600</v>
      </c>
      <c r="K217" s="57"/>
      <c r="L217" s="57"/>
      <c r="M217" s="31">
        <v>467500000</v>
      </c>
      <c r="N217" s="31"/>
      <c r="O217" s="31">
        <f t="shared" si="37"/>
        <v>2681794</v>
      </c>
      <c r="P217" s="33">
        <f>141070*0.3</f>
        <v>42321</v>
      </c>
      <c r="Q217" s="60">
        <v>43997</v>
      </c>
      <c r="R217" s="60">
        <v>244</v>
      </c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34">
        <f>157*2550</f>
        <v>400350</v>
      </c>
      <c r="AK217" s="34">
        <f t="shared" si="34"/>
        <v>658800</v>
      </c>
      <c r="AL217" s="33"/>
      <c r="AM217" s="33">
        <v>500000</v>
      </c>
      <c r="AN217" s="12">
        <f t="shared" si="32"/>
        <v>5879678</v>
      </c>
      <c r="AO217" s="99">
        <f t="shared" si="33"/>
        <v>855850247</v>
      </c>
      <c r="AQ217" s="55">
        <v>48004560563980</v>
      </c>
      <c r="AR217" s="55">
        <v>67896253400</v>
      </c>
      <c r="AS217" s="55">
        <v>31910980100</v>
      </c>
      <c r="AT217" s="55">
        <v>38291121300</v>
      </c>
      <c r="AU217" s="12">
        <v>5879678</v>
      </c>
      <c r="AV217" s="99">
        <v>855850247</v>
      </c>
    </row>
    <row r="218" spans="1:48" ht="15" customHeight="1">
      <c r="A218" s="47">
        <v>43998</v>
      </c>
      <c r="B218" s="29">
        <f>3362569900-K218-L218-M218</f>
        <v>2674194500</v>
      </c>
      <c r="C218" s="29">
        <v>547038500</v>
      </c>
      <c r="D218" s="29"/>
      <c r="E218" s="29"/>
      <c r="F218" s="29">
        <f t="shared" si="36"/>
        <v>3221233000</v>
      </c>
      <c r="G218" s="29">
        <f t="shared" si="24"/>
        <v>869733</v>
      </c>
      <c r="H218" s="31">
        <v>2861898700</v>
      </c>
      <c r="I218" s="57">
        <v>0</v>
      </c>
      <c r="J218" s="31">
        <f t="shared" si="35"/>
        <v>2861898700</v>
      </c>
      <c r="K218" s="57"/>
      <c r="L218" s="31">
        <v>669455400</v>
      </c>
      <c r="M218" s="31">
        <v>18920000</v>
      </c>
      <c r="N218" s="31"/>
      <c r="O218" s="31">
        <f t="shared" si="37"/>
        <v>432993</v>
      </c>
      <c r="P218" s="33">
        <f>299250*0.3</f>
        <v>89775</v>
      </c>
      <c r="Q218" s="60">
        <v>43998</v>
      </c>
      <c r="R218" s="60">
        <v>139</v>
      </c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34">
        <f>294*2550</f>
        <v>749700</v>
      </c>
      <c r="AK218" s="34">
        <f t="shared" si="34"/>
        <v>375300</v>
      </c>
      <c r="AL218" s="33"/>
      <c r="AM218" s="33">
        <v>600000</v>
      </c>
      <c r="AN218" s="12">
        <f t="shared" si="32"/>
        <v>3117501</v>
      </c>
      <c r="AO218" s="99">
        <f t="shared" si="33"/>
        <v>858967748</v>
      </c>
      <c r="AQ218" s="55">
        <v>13058397836050</v>
      </c>
      <c r="AR218" s="55">
        <v>6659134000</v>
      </c>
      <c r="AS218" s="55">
        <v>3356216900</v>
      </c>
      <c r="AT218" s="55">
        <v>7265825300</v>
      </c>
      <c r="AU218" s="12">
        <v>3117501</v>
      </c>
      <c r="AV218" s="99">
        <v>858967748</v>
      </c>
    </row>
    <row r="219" spans="1:48" ht="15" customHeight="1">
      <c r="A219" s="47">
        <v>43999</v>
      </c>
      <c r="B219" s="29">
        <f>10935962300-L219-M219</f>
        <v>8100604800</v>
      </c>
      <c r="C219" s="29">
        <v>1535310000</v>
      </c>
      <c r="D219" s="29"/>
      <c r="E219" s="29"/>
      <c r="F219" s="29">
        <f t="shared" si="36"/>
        <v>9635914800</v>
      </c>
      <c r="G219" s="29">
        <f t="shared" si="24"/>
        <v>2601697</v>
      </c>
      <c r="H219" s="31">
        <v>3100367600</v>
      </c>
      <c r="I219" s="57"/>
      <c r="J219" s="31">
        <f t="shared" si="35"/>
        <v>3100367600</v>
      </c>
      <c r="K219" s="57"/>
      <c r="L219" s="31">
        <v>2835263500</v>
      </c>
      <c r="M219" s="31">
        <v>94000</v>
      </c>
      <c r="N219" s="31"/>
      <c r="O219" s="31">
        <f t="shared" si="37"/>
        <v>845204</v>
      </c>
      <c r="P219" s="33">
        <f>401080*0.3</f>
        <v>120324</v>
      </c>
      <c r="Q219" s="60">
        <v>43999</v>
      </c>
      <c r="R219" s="60">
        <v>101</v>
      </c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34">
        <f>295*2550</f>
        <v>752250</v>
      </c>
      <c r="AK219" s="34">
        <f t="shared" si="34"/>
        <v>272700</v>
      </c>
      <c r="AL219" s="33"/>
      <c r="AM219" s="33">
        <v>600000</v>
      </c>
      <c r="AN219" s="12">
        <f t="shared" si="32"/>
        <v>5192175</v>
      </c>
      <c r="AO219" s="99">
        <f t="shared" si="33"/>
        <v>864159923</v>
      </c>
      <c r="AQ219" s="55">
        <v>10106404627190</v>
      </c>
      <c r="AR219" s="55">
        <v>15974352800</v>
      </c>
      <c r="AS219" s="55">
        <v>5757367700</v>
      </c>
      <c r="AT219" s="55">
        <v>18228640000</v>
      </c>
      <c r="AU219" s="12">
        <v>5192175</v>
      </c>
      <c r="AV219" s="99">
        <v>864159923</v>
      </c>
    </row>
    <row r="220" spans="1:48" ht="15" customHeight="1" thickBot="1">
      <c r="A220" s="47">
        <v>44000</v>
      </c>
      <c r="B220" s="29">
        <f>2636942000-L220-M220</f>
        <v>2531549400</v>
      </c>
      <c r="C220" s="29">
        <v>0</v>
      </c>
      <c r="D220" s="29"/>
      <c r="E220" s="29"/>
      <c r="F220" s="29">
        <f t="shared" si="36"/>
        <v>2531549400</v>
      </c>
      <c r="G220" s="29">
        <f t="shared" si="24"/>
        <v>683518</v>
      </c>
      <c r="H220" s="57">
        <v>936521000</v>
      </c>
      <c r="I220" s="57"/>
      <c r="J220" s="31">
        <f t="shared" si="35"/>
        <v>936521000</v>
      </c>
      <c r="K220" s="57"/>
      <c r="L220" s="31">
        <v>11880000</v>
      </c>
      <c r="M220" s="31">
        <v>93512600</v>
      </c>
      <c r="N220" s="31"/>
      <c r="O220" s="31">
        <f t="shared" si="37"/>
        <v>120115</v>
      </c>
      <c r="P220" s="33">
        <f>111210*0.3</f>
        <v>33363</v>
      </c>
      <c r="Q220" s="60">
        <v>44000</v>
      </c>
      <c r="R220" s="60">
        <v>31</v>
      </c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34">
        <f>286*2550</f>
        <v>729300</v>
      </c>
      <c r="AK220" s="34">
        <f t="shared" si="34"/>
        <v>83700</v>
      </c>
      <c r="AL220" s="59"/>
      <c r="AM220" s="59"/>
      <c r="AN220" s="12">
        <f t="shared" si="32"/>
        <v>1649996</v>
      </c>
      <c r="AO220" s="99">
        <f t="shared" si="33"/>
        <v>865809919</v>
      </c>
      <c r="AQ220" s="55">
        <v>10262930370420</v>
      </c>
      <c r="AR220" s="55">
        <v>11667117600</v>
      </c>
      <c r="AS220" s="55">
        <v>1904892000</v>
      </c>
      <c r="AT220" s="55">
        <v>4541834000</v>
      </c>
      <c r="AU220" s="12">
        <v>1649996</v>
      </c>
      <c r="AV220" s="99">
        <v>865809919</v>
      </c>
    </row>
    <row r="221" spans="1:48" ht="15" customHeight="1">
      <c r="A221" s="48">
        <v>44001</v>
      </c>
      <c r="B221" s="36">
        <f>12028010100-L221</f>
        <v>11903155100</v>
      </c>
      <c r="C221" s="36">
        <v>0</v>
      </c>
      <c r="D221" s="36">
        <v>406477000</v>
      </c>
      <c r="E221" s="36"/>
      <c r="F221" s="36">
        <f t="shared" ref="F221:F274" si="38">B221+C221+D221</f>
        <v>12309632100</v>
      </c>
      <c r="G221" s="36">
        <f t="shared" ref="G221:G274" si="39">ROUND(F221*0.027%,0)</f>
        <v>3323601</v>
      </c>
      <c r="H221" s="37">
        <v>3202793000</v>
      </c>
      <c r="I221" s="62"/>
      <c r="J221" s="37">
        <f t="shared" si="35"/>
        <v>3202793000</v>
      </c>
      <c r="K221" s="62"/>
      <c r="L221" s="37">
        <v>124855000</v>
      </c>
      <c r="M221" s="62"/>
      <c r="N221" s="62"/>
      <c r="O221" s="37">
        <f t="shared" si="37"/>
        <v>368376</v>
      </c>
      <c r="P221" s="38">
        <f>45000*0.3</f>
        <v>13500</v>
      </c>
      <c r="Q221" s="64">
        <v>44001</v>
      </c>
      <c r="R221" s="64">
        <v>297</v>
      </c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39">
        <f>577*2550*3</f>
        <v>4414050</v>
      </c>
      <c r="AK221" s="39">
        <f t="shared" si="34"/>
        <v>801900</v>
      </c>
      <c r="AL221" s="38"/>
      <c r="AM221" s="38">
        <v>96233</v>
      </c>
      <c r="AN221" s="12">
        <f t="shared" si="32"/>
        <v>9017660</v>
      </c>
      <c r="AO221" s="99">
        <f t="shared" si="33"/>
        <v>874827579</v>
      </c>
      <c r="AQ221" s="55">
        <v>14043638831264</v>
      </c>
      <c r="AR221" s="55">
        <v>15345614400</v>
      </c>
      <c r="AS221" s="55">
        <v>7200793000</v>
      </c>
      <c r="AT221" s="55">
        <v>20041757100</v>
      </c>
      <c r="AU221" s="12">
        <v>9017660</v>
      </c>
      <c r="AV221" s="99">
        <v>874827579</v>
      </c>
    </row>
    <row r="222" spans="1:48" ht="15" customHeight="1">
      <c r="A222" s="47">
        <v>44004</v>
      </c>
      <c r="B222" s="29">
        <f>2998706500-L222</f>
        <v>2756506500</v>
      </c>
      <c r="C222" s="29">
        <v>0</v>
      </c>
      <c r="D222" s="29"/>
      <c r="E222" s="29"/>
      <c r="F222" s="29">
        <f t="shared" si="38"/>
        <v>2756506500</v>
      </c>
      <c r="G222" s="29">
        <f t="shared" si="39"/>
        <v>744257</v>
      </c>
      <c r="H222" s="57">
        <v>12144353700</v>
      </c>
      <c r="I222" s="31">
        <v>1348000000</v>
      </c>
      <c r="J222" s="31">
        <f t="shared" si="35"/>
        <v>13492353700</v>
      </c>
      <c r="K222" s="57"/>
      <c r="L222" s="31">
        <v>242200000</v>
      </c>
      <c r="M222" s="57"/>
      <c r="N222" s="57"/>
      <c r="O222" s="31">
        <f t="shared" si="37"/>
        <v>1597826</v>
      </c>
      <c r="P222" s="33">
        <f>512310*0.3</f>
        <v>153693</v>
      </c>
      <c r="Q222" s="60">
        <v>44004</v>
      </c>
      <c r="R222" s="60">
        <v>135</v>
      </c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34">
        <f>582*2550</f>
        <v>1484100</v>
      </c>
      <c r="AK222" s="34">
        <f t="shared" si="34"/>
        <v>364500</v>
      </c>
      <c r="AL222" s="59"/>
      <c r="AM222" s="59"/>
      <c r="AN222" s="12">
        <f t="shared" si="32"/>
        <v>4344376</v>
      </c>
      <c r="AO222" s="99">
        <f t="shared" si="33"/>
        <v>879171955</v>
      </c>
      <c r="AQ222" s="55">
        <v>12431404716000</v>
      </c>
      <c r="AR222" s="55">
        <v>32008352400</v>
      </c>
      <c r="AS222" s="55">
        <v>22932598700</v>
      </c>
      <c r="AT222" s="55">
        <v>25931305200</v>
      </c>
      <c r="AU222" s="12">
        <v>4344376</v>
      </c>
      <c r="AV222" s="99">
        <v>879171955</v>
      </c>
    </row>
    <row r="223" spans="1:48" ht="15" customHeight="1">
      <c r="A223" s="47">
        <v>44005</v>
      </c>
      <c r="B223" s="29">
        <f>2594019500-L223-M223</f>
        <v>1838199900</v>
      </c>
      <c r="C223" s="29">
        <v>0</v>
      </c>
      <c r="D223" s="29"/>
      <c r="E223" s="29"/>
      <c r="F223" s="29">
        <f t="shared" si="38"/>
        <v>1838199900</v>
      </c>
      <c r="G223" s="29">
        <f t="shared" si="39"/>
        <v>496314</v>
      </c>
      <c r="H223" s="57">
        <v>6816434200</v>
      </c>
      <c r="I223" s="31">
        <v>2685000000</v>
      </c>
      <c r="J223" s="31">
        <f t="shared" si="35"/>
        <v>9501434200</v>
      </c>
      <c r="K223" s="57"/>
      <c r="L223" s="31">
        <v>752969600</v>
      </c>
      <c r="M223" s="31">
        <v>2850000</v>
      </c>
      <c r="N223" s="31"/>
      <c r="O223" s="31">
        <f t="shared" si="37"/>
        <v>1355522</v>
      </c>
      <c r="P223" s="33">
        <f>519960*0.3</f>
        <v>155988</v>
      </c>
      <c r="Q223" s="60">
        <v>44005</v>
      </c>
      <c r="R223" s="60">
        <v>149</v>
      </c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34">
        <f>563*2550</f>
        <v>1435650</v>
      </c>
      <c r="AK223" s="34">
        <f t="shared" si="34"/>
        <v>402300</v>
      </c>
      <c r="AL223" s="59"/>
      <c r="AM223" s="59"/>
      <c r="AN223" s="12">
        <f t="shared" si="32"/>
        <v>3845774</v>
      </c>
      <c r="AO223" s="99">
        <f t="shared" si="33"/>
        <v>883017729</v>
      </c>
      <c r="AQ223" s="55">
        <v>15642723344588</v>
      </c>
      <c r="AR223" s="55">
        <v>22519304000</v>
      </c>
      <c r="AS223" s="55">
        <v>12186434200</v>
      </c>
      <c r="AT223" s="55">
        <v>14780453700</v>
      </c>
      <c r="AU223" s="12">
        <v>3845774</v>
      </c>
      <c r="AV223" s="99">
        <v>883017729</v>
      </c>
    </row>
    <row r="224" spans="1:48" ht="15" customHeight="1">
      <c r="A224" s="47">
        <v>44006</v>
      </c>
      <c r="B224" s="29">
        <f>9187234800-L224-M224</f>
        <v>7231237400</v>
      </c>
      <c r="C224" s="29">
        <v>0</v>
      </c>
      <c r="D224" s="29"/>
      <c r="E224" s="29"/>
      <c r="F224" s="29">
        <f t="shared" si="38"/>
        <v>7231237400</v>
      </c>
      <c r="G224" s="29">
        <f t="shared" si="39"/>
        <v>1952434</v>
      </c>
      <c r="H224" s="31">
        <v>6400923400</v>
      </c>
      <c r="I224" s="57"/>
      <c r="J224" s="31">
        <f t="shared" si="35"/>
        <v>6400923400</v>
      </c>
      <c r="K224" s="57"/>
      <c r="L224" s="31">
        <v>1569135400</v>
      </c>
      <c r="M224" s="31">
        <v>386862000</v>
      </c>
      <c r="N224" s="31"/>
      <c r="O224" s="31">
        <f t="shared" si="37"/>
        <v>1043379</v>
      </c>
      <c r="P224" s="33">
        <f>243830*0.3</f>
        <v>73149</v>
      </c>
      <c r="Q224" s="60">
        <v>44006</v>
      </c>
      <c r="R224" s="60">
        <v>141</v>
      </c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34">
        <f>576*2550</f>
        <v>1468800</v>
      </c>
      <c r="AK224" s="60">
        <f t="shared" si="34"/>
        <v>380700</v>
      </c>
      <c r="AL224" s="59"/>
      <c r="AM224" s="59"/>
      <c r="AN224" s="12">
        <f t="shared" si="32"/>
        <v>4918462</v>
      </c>
      <c r="AO224" s="99">
        <f t="shared" si="33"/>
        <v>887936191</v>
      </c>
      <c r="AQ224" s="55">
        <v>11948867430480</v>
      </c>
      <c r="AR224" s="55">
        <v>20592652800</v>
      </c>
      <c r="AS224" s="55">
        <v>11782173400</v>
      </c>
      <c r="AT224" s="55">
        <v>20969408200</v>
      </c>
      <c r="AU224" s="12">
        <v>4918462</v>
      </c>
      <c r="AV224" s="99">
        <v>887936191</v>
      </c>
    </row>
    <row r="225" spans="1:48" ht="15" customHeight="1">
      <c r="A225" s="47">
        <v>44007</v>
      </c>
      <c r="B225" s="29">
        <f>11164927300-L225-M225</f>
        <v>7659564800</v>
      </c>
      <c r="C225" s="29">
        <v>0</v>
      </c>
      <c r="D225" s="29">
        <v>270106000</v>
      </c>
      <c r="E225" s="29"/>
      <c r="F225" s="29">
        <f t="shared" si="38"/>
        <v>7929670800</v>
      </c>
      <c r="G225" s="29">
        <f t="shared" si="39"/>
        <v>2141011</v>
      </c>
      <c r="H225" s="57">
        <v>7362856600</v>
      </c>
      <c r="I225" s="31">
        <v>10567000000</v>
      </c>
      <c r="J225" s="31">
        <f t="shared" si="35"/>
        <v>17929856600</v>
      </c>
      <c r="K225" s="57"/>
      <c r="L225" s="31">
        <v>3221697500</v>
      </c>
      <c r="M225" s="31">
        <v>283665000</v>
      </c>
      <c r="N225" s="31"/>
      <c r="O225" s="31">
        <f t="shared" si="37"/>
        <v>3328214</v>
      </c>
      <c r="P225" s="33">
        <f>592650*0.3</f>
        <v>177795</v>
      </c>
      <c r="Q225" s="60">
        <v>44007</v>
      </c>
      <c r="R225" s="60">
        <v>163</v>
      </c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34">
        <f>583*2550</f>
        <v>1486650</v>
      </c>
      <c r="AK225" s="34">
        <f t="shared" si="34"/>
        <v>440100</v>
      </c>
      <c r="AL225" s="33"/>
      <c r="AM225" s="33">
        <v>100000</v>
      </c>
      <c r="AN225" s="12">
        <f t="shared" si="32"/>
        <v>7673770</v>
      </c>
      <c r="AO225" s="99">
        <f t="shared" si="33"/>
        <v>895609961</v>
      </c>
      <c r="AQ225" s="55">
        <v>10569069491344</v>
      </c>
      <c r="AR225" s="55">
        <v>49283783400</v>
      </c>
      <c r="AS225" s="55">
        <v>33771856600</v>
      </c>
      <c r="AT225" s="55">
        <v>45476995900</v>
      </c>
      <c r="AU225" s="12">
        <v>7673770</v>
      </c>
      <c r="AV225" s="99">
        <v>895609961</v>
      </c>
    </row>
    <row r="226" spans="1:48" ht="15" customHeight="1">
      <c r="A226" s="47">
        <v>44008</v>
      </c>
      <c r="B226" s="30">
        <f>2831279600-L226</f>
        <v>2162059600</v>
      </c>
      <c r="C226" s="30">
        <v>0</v>
      </c>
      <c r="D226" s="30"/>
      <c r="E226" s="30"/>
      <c r="F226" s="29">
        <f t="shared" si="38"/>
        <v>2162059600</v>
      </c>
      <c r="G226" s="29">
        <f t="shared" si="39"/>
        <v>583756</v>
      </c>
      <c r="H226" s="32">
        <v>1476524000</v>
      </c>
      <c r="I226" s="58"/>
      <c r="J226" s="31">
        <f t="shared" si="35"/>
        <v>1476524000</v>
      </c>
      <c r="K226" s="58"/>
      <c r="L226" s="32">
        <v>669220000</v>
      </c>
      <c r="M226" s="58"/>
      <c r="N226" s="58"/>
      <c r="O226" s="31">
        <f t="shared" si="37"/>
        <v>279924</v>
      </c>
      <c r="P226" s="46">
        <f>60870*0.3</f>
        <v>18261</v>
      </c>
      <c r="Q226" s="116">
        <v>44008</v>
      </c>
      <c r="R226" s="116">
        <v>15</v>
      </c>
      <c r="S226" s="116"/>
      <c r="T226" s="116"/>
      <c r="U226" s="116"/>
      <c r="V226" s="116"/>
      <c r="W226" s="116"/>
      <c r="X226" s="116"/>
      <c r="Y226" s="116"/>
      <c r="Z226" s="116"/>
      <c r="AA226" s="116"/>
      <c r="AB226" s="116"/>
      <c r="AC226" s="116"/>
      <c r="AD226" s="116"/>
      <c r="AE226" s="116"/>
      <c r="AF226" s="116"/>
      <c r="AG226" s="116"/>
      <c r="AH226" s="116"/>
      <c r="AI226" s="116"/>
      <c r="AJ226" s="42">
        <f>588*2550*3</f>
        <v>4498200</v>
      </c>
      <c r="AK226" s="34">
        <f t="shared" si="34"/>
        <v>40500</v>
      </c>
      <c r="AL226" s="66"/>
      <c r="AM226" s="66"/>
      <c r="AN226" s="12">
        <f t="shared" si="32"/>
        <v>5420641</v>
      </c>
      <c r="AO226" s="99">
        <f t="shared" si="33"/>
        <v>901030602</v>
      </c>
      <c r="AQ226" s="55">
        <v>10159322491222</v>
      </c>
      <c r="AR226" s="55">
        <v>24797338600</v>
      </c>
      <c r="AS226" s="55">
        <v>2809189000</v>
      </c>
      <c r="AT226" s="55">
        <v>5910574600</v>
      </c>
      <c r="AU226" s="12">
        <v>5420641</v>
      </c>
      <c r="AV226" s="99">
        <v>901030602</v>
      </c>
    </row>
    <row r="227" spans="1:48" ht="15" customHeight="1">
      <c r="A227" s="49">
        <v>44011</v>
      </c>
      <c r="B227" s="29">
        <f>11990543300-K227-L227-M227</f>
        <v>8172946700</v>
      </c>
      <c r="C227" s="29">
        <v>1901118500</v>
      </c>
      <c r="D227" s="29"/>
      <c r="E227" s="29"/>
      <c r="F227" s="29">
        <f t="shared" si="38"/>
        <v>10074065200</v>
      </c>
      <c r="G227" s="29">
        <f t="shared" si="39"/>
        <v>2719998</v>
      </c>
      <c r="H227" s="57">
        <v>4327576400</v>
      </c>
      <c r="I227" s="31">
        <v>7756000000</v>
      </c>
      <c r="J227" s="31">
        <f t="shared" si="35"/>
        <v>12083576400</v>
      </c>
      <c r="K227" s="57"/>
      <c r="L227" s="31">
        <v>3817596600</v>
      </c>
      <c r="M227" s="57"/>
      <c r="N227" s="57"/>
      <c r="O227" s="31">
        <f t="shared" si="37"/>
        <v>2550626</v>
      </c>
      <c r="P227" s="33">
        <f>648570*0.3</f>
        <v>194571</v>
      </c>
      <c r="Q227" s="60">
        <v>44011</v>
      </c>
      <c r="R227" s="60">
        <v>266</v>
      </c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34">
        <f>538*2550</f>
        <v>1371900</v>
      </c>
      <c r="AK227" s="34">
        <f t="shared" si="34"/>
        <v>718200</v>
      </c>
      <c r="AL227" s="33"/>
      <c r="AM227" s="33">
        <v>700000</v>
      </c>
      <c r="AN227" s="12">
        <f t="shared" si="32"/>
        <v>8255295</v>
      </c>
      <c r="AO227" s="99">
        <f t="shared" si="33"/>
        <v>909285897</v>
      </c>
      <c r="AQ227" s="55">
        <v>12872071780216</v>
      </c>
      <c r="AR227" s="55">
        <v>33640353600</v>
      </c>
      <c r="AS227" s="55">
        <v>22429588900</v>
      </c>
      <c r="AT227" s="55">
        <v>36321250700</v>
      </c>
      <c r="AU227" s="12">
        <v>8255295</v>
      </c>
      <c r="AV227" s="99">
        <v>909285897</v>
      </c>
    </row>
    <row r="228" spans="1:48" ht="15" customHeight="1">
      <c r="A228" s="49">
        <v>44012</v>
      </c>
      <c r="B228" s="29">
        <f>8564664500-K228-L228-M228</f>
        <v>7095667200</v>
      </c>
      <c r="C228" s="29">
        <v>1828235500</v>
      </c>
      <c r="D228" s="29"/>
      <c r="E228" s="29"/>
      <c r="F228" s="29">
        <f t="shared" si="38"/>
        <v>8923902700</v>
      </c>
      <c r="G228" s="29">
        <f t="shared" si="39"/>
        <v>2409454</v>
      </c>
      <c r="H228" s="57">
        <v>1546113600</v>
      </c>
      <c r="I228" s="31">
        <v>12870000000</v>
      </c>
      <c r="J228" s="31">
        <f t="shared" si="35"/>
        <v>14416113600</v>
      </c>
      <c r="K228" s="57"/>
      <c r="L228" s="31">
        <v>1112997300</v>
      </c>
      <c r="M228" s="31">
        <v>356000000</v>
      </c>
      <c r="N228" s="31"/>
      <c r="O228" s="31">
        <f t="shared" si="37"/>
        <v>2748000</v>
      </c>
      <c r="P228" s="33">
        <f>424350*0.3</f>
        <v>127305</v>
      </c>
      <c r="Q228" s="60">
        <v>44012</v>
      </c>
      <c r="R228" s="60">
        <v>181</v>
      </c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34">
        <f>535*2550</f>
        <v>1364250</v>
      </c>
      <c r="AK228" s="34">
        <f t="shared" si="34"/>
        <v>488700</v>
      </c>
      <c r="AL228" s="33"/>
      <c r="AM228" s="33">
        <v>600000</v>
      </c>
      <c r="AN228" s="12">
        <f t="shared" si="32"/>
        <v>7737709</v>
      </c>
      <c r="AO228" s="99">
        <f t="shared" si="33"/>
        <v>917023606</v>
      </c>
      <c r="AQ228" s="55">
        <v>12006113853456</v>
      </c>
      <c r="AR228" s="55">
        <v>45379704200</v>
      </c>
      <c r="AS228" s="55">
        <v>25018294600</v>
      </c>
      <c r="AT228" s="55">
        <v>35411194600</v>
      </c>
      <c r="AU228" s="12">
        <v>7737709</v>
      </c>
      <c r="AV228" s="99">
        <v>917023606</v>
      </c>
    </row>
    <row r="229" spans="1:48" ht="15" customHeight="1">
      <c r="A229" s="28">
        <v>44013</v>
      </c>
      <c r="B229" s="29">
        <f>4349926000-N229-Q229</f>
        <v>4348571100</v>
      </c>
      <c r="C229" s="29">
        <v>1836191000</v>
      </c>
      <c r="D229" s="29"/>
      <c r="E229" s="29"/>
      <c r="F229" s="29">
        <f t="shared" si="38"/>
        <v>6184762100</v>
      </c>
      <c r="G229" s="29">
        <f t="shared" si="39"/>
        <v>1669886</v>
      </c>
      <c r="H229" s="31">
        <v>5123999100</v>
      </c>
      <c r="I229" s="31">
        <v>2578000000</v>
      </c>
      <c r="J229" s="31">
        <f t="shared" si="35"/>
        <v>7701999100</v>
      </c>
      <c r="K229" s="31"/>
      <c r="L229" s="31"/>
      <c r="M229" s="31"/>
      <c r="N229" s="31">
        <v>1264100</v>
      </c>
      <c r="O229" s="31"/>
      <c r="P229" s="31"/>
      <c r="Q229" s="31">
        <v>90800</v>
      </c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>
        <f t="shared" ref="AJ229:AJ249" si="40">ROUND(H229*0.0108%+I229*0.018%+K229*0.018%+N229*0.018%+Q229*0.018%,0)</f>
        <v>1017676</v>
      </c>
      <c r="AK229" s="33">
        <f>332930*0.3</f>
        <v>99879</v>
      </c>
      <c r="AL229" s="34">
        <v>44013</v>
      </c>
      <c r="AM229" s="34">
        <v>71</v>
      </c>
      <c r="AN229" s="34">
        <f>482*2550</f>
        <v>1229100</v>
      </c>
      <c r="AO229" s="34">
        <f t="shared" ref="AO229:AO292" si="41">AM229*2700</f>
        <v>191700</v>
      </c>
      <c r="AP229" s="33">
        <f>700000+1300000</f>
        <v>2000000</v>
      </c>
      <c r="AQ229" s="55">
        <v>10475216959670</v>
      </c>
      <c r="AR229" s="55">
        <v>60822906000</v>
      </c>
      <c r="AS229" s="55">
        <v>15720800100</v>
      </c>
      <c r="AT229" s="55">
        <v>21906917100</v>
      </c>
      <c r="AU229" s="55">
        <v>6208241</v>
      </c>
      <c r="AV229" s="99">
        <v>923231847</v>
      </c>
    </row>
    <row r="230" spans="1:48" ht="15.75" customHeight="1" thickBot="1">
      <c r="A230" s="28">
        <v>44014</v>
      </c>
      <c r="B230" s="29">
        <f>7093071300-N230-Q230</f>
        <v>4400850200</v>
      </c>
      <c r="C230" s="29">
        <v>1867493500</v>
      </c>
      <c r="D230" s="29"/>
      <c r="E230" s="29"/>
      <c r="F230" s="29">
        <f t="shared" si="38"/>
        <v>6268343700</v>
      </c>
      <c r="G230" s="29">
        <f t="shared" si="39"/>
        <v>1692453</v>
      </c>
      <c r="H230" s="31">
        <v>7215292200</v>
      </c>
      <c r="I230" s="31">
        <v>2605000000</v>
      </c>
      <c r="J230" s="31">
        <f t="shared" si="35"/>
        <v>9820292200</v>
      </c>
      <c r="K230" s="31"/>
      <c r="L230" s="31"/>
      <c r="M230" s="31"/>
      <c r="N230" s="31">
        <v>2163566500</v>
      </c>
      <c r="O230" s="31"/>
      <c r="P230" s="31"/>
      <c r="Q230" s="31">
        <v>528654600</v>
      </c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>
        <f t="shared" si="40"/>
        <v>1732751</v>
      </c>
      <c r="AK230" s="33">
        <f>441880*0.3</f>
        <v>132564</v>
      </c>
      <c r="AL230" s="34">
        <v>44014</v>
      </c>
      <c r="AM230" s="34">
        <v>127</v>
      </c>
      <c r="AN230" s="34">
        <f>449*2550</f>
        <v>1144950</v>
      </c>
      <c r="AO230" s="34">
        <f t="shared" si="41"/>
        <v>342900</v>
      </c>
      <c r="AP230" s="33">
        <v>700000</v>
      </c>
      <c r="AQ230" s="55">
        <v>8368634814632</v>
      </c>
      <c r="AR230" s="55">
        <v>23320245600</v>
      </c>
      <c r="AS230" s="55">
        <v>15245792200</v>
      </c>
      <c r="AT230" s="55">
        <v>24206357000</v>
      </c>
      <c r="AU230" s="55">
        <v>5745618</v>
      </c>
      <c r="AV230" s="99">
        <v>928977465</v>
      </c>
    </row>
    <row r="231" spans="1:48" ht="15" customHeight="1">
      <c r="A231" s="35">
        <v>44015</v>
      </c>
      <c r="B231" s="36">
        <f>9068591300-K231-N231-Q231</f>
        <v>9052795800</v>
      </c>
      <c r="C231" s="36">
        <v>1126830000</v>
      </c>
      <c r="D231" s="36"/>
      <c r="E231" s="36"/>
      <c r="F231" s="36">
        <f t="shared" si="38"/>
        <v>10179625800</v>
      </c>
      <c r="G231" s="36">
        <f t="shared" si="39"/>
        <v>2748499</v>
      </c>
      <c r="H231" s="37">
        <v>4689836800</v>
      </c>
      <c r="I231" s="37">
        <v>31512000000</v>
      </c>
      <c r="J231" s="37">
        <f t="shared" si="35"/>
        <v>36201836800</v>
      </c>
      <c r="K231" s="37"/>
      <c r="L231" s="37"/>
      <c r="M231" s="37"/>
      <c r="N231" s="37">
        <v>15795500</v>
      </c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>
        <f t="shared" si="40"/>
        <v>6181506</v>
      </c>
      <c r="AK231" s="38">
        <f>456430*0.3</f>
        <v>136929</v>
      </c>
      <c r="AL231" s="39">
        <v>44015</v>
      </c>
      <c r="AM231" s="39">
        <v>261</v>
      </c>
      <c r="AN231" s="39">
        <f>596*2550*3</f>
        <v>4559400</v>
      </c>
      <c r="AO231" s="39">
        <f t="shared" si="41"/>
        <v>704700</v>
      </c>
      <c r="AP231" s="38">
        <f>6754095+251500+600000</f>
        <v>7605595</v>
      </c>
      <c r="AQ231" s="55">
        <v>8521721224700</v>
      </c>
      <c r="AR231" s="55">
        <v>109792753200</v>
      </c>
      <c r="AS231" s="55">
        <v>45904409200</v>
      </c>
      <c r="AT231" s="55">
        <v>56099830500</v>
      </c>
      <c r="AU231" s="55">
        <v>21936629</v>
      </c>
      <c r="AV231" s="99">
        <v>950914094</v>
      </c>
    </row>
    <row r="232" spans="1:48" ht="15" customHeight="1">
      <c r="A232" s="28">
        <v>44018</v>
      </c>
      <c r="B232" s="29">
        <f>1640852900-K232-N232-Q232</f>
        <v>0</v>
      </c>
      <c r="C232" s="29">
        <v>0</v>
      </c>
      <c r="D232" s="29"/>
      <c r="E232" s="29"/>
      <c r="F232" s="29">
        <f t="shared" si="38"/>
        <v>0</v>
      </c>
      <c r="G232" s="29">
        <f t="shared" si="39"/>
        <v>0</v>
      </c>
      <c r="H232" s="31">
        <v>5271448900</v>
      </c>
      <c r="I232" s="31">
        <v>0</v>
      </c>
      <c r="J232" s="31">
        <f t="shared" si="35"/>
        <v>5271448900</v>
      </c>
      <c r="K232" s="31"/>
      <c r="L232" s="31"/>
      <c r="M232" s="31"/>
      <c r="N232" s="31">
        <v>634078400</v>
      </c>
      <c r="O232" s="31"/>
      <c r="P232" s="31"/>
      <c r="Q232" s="31">
        <v>1006774500</v>
      </c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>
        <f t="shared" si="40"/>
        <v>864670</v>
      </c>
      <c r="AK232" s="33">
        <f>276790*0.3</f>
        <v>83037</v>
      </c>
      <c r="AL232" s="34">
        <v>44018</v>
      </c>
      <c r="AM232" s="34">
        <v>173</v>
      </c>
      <c r="AN232" s="34">
        <f>769*2550</f>
        <v>1960950</v>
      </c>
      <c r="AO232" s="34">
        <f t="shared" si="41"/>
        <v>467100</v>
      </c>
      <c r="AP232" s="33"/>
      <c r="AQ232" s="55">
        <v>9645974393724</v>
      </c>
      <c r="AR232" s="55">
        <v>16149422800</v>
      </c>
      <c r="AS232" s="55">
        <v>7941448900</v>
      </c>
      <c r="AT232" s="55">
        <v>9582301800</v>
      </c>
      <c r="AU232" s="55">
        <v>3375757</v>
      </c>
      <c r="AV232" s="99">
        <v>954289851</v>
      </c>
    </row>
    <row r="233" spans="1:48" ht="15" customHeight="1">
      <c r="A233" s="28">
        <v>44019</v>
      </c>
      <c r="B233" s="29">
        <f>6407796000-K233-N233-Q233</f>
        <v>6393334400</v>
      </c>
      <c r="C233" s="29">
        <v>2132063000</v>
      </c>
      <c r="D233" s="29"/>
      <c r="E233" s="29"/>
      <c r="F233" s="29">
        <f t="shared" si="38"/>
        <v>8525397400</v>
      </c>
      <c r="G233" s="29">
        <f t="shared" si="39"/>
        <v>2301857</v>
      </c>
      <c r="H233" s="31">
        <v>534600000</v>
      </c>
      <c r="I233" s="31"/>
      <c r="J233" s="31">
        <f t="shared" si="35"/>
        <v>534600000</v>
      </c>
      <c r="K233" s="31"/>
      <c r="L233" s="31"/>
      <c r="M233" s="31"/>
      <c r="N233" s="31">
        <v>14461600</v>
      </c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>
        <f t="shared" si="40"/>
        <v>60340</v>
      </c>
      <c r="AK233" s="33">
        <f>194820*0.3</f>
        <v>58446</v>
      </c>
      <c r="AL233" s="34">
        <v>44019</v>
      </c>
      <c r="AM233" s="34">
        <v>160</v>
      </c>
      <c r="AN233" s="34">
        <f>661*2550</f>
        <v>1685550</v>
      </c>
      <c r="AO233" s="34">
        <f t="shared" si="41"/>
        <v>432000</v>
      </c>
      <c r="AP233" s="33">
        <v>600000</v>
      </c>
      <c r="AQ233" s="55">
        <v>12634210770280</v>
      </c>
      <c r="AR233" s="55">
        <v>24104393400</v>
      </c>
      <c r="AS233" s="55">
        <v>5912700500</v>
      </c>
      <c r="AT233" s="55">
        <v>14452559500</v>
      </c>
      <c r="AU233" s="55">
        <v>5138193</v>
      </c>
      <c r="AV233" s="99">
        <v>959428044</v>
      </c>
    </row>
    <row r="234" spans="1:48" ht="15" customHeight="1">
      <c r="A234" s="28">
        <v>44020</v>
      </c>
      <c r="B234" s="29">
        <f>3143746400-K234-N234-Q234</f>
        <v>2814445000</v>
      </c>
      <c r="C234" s="29">
        <v>2708856000</v>
      </c>
      <c r="D234" s="29">
        <v>791650000</v>
      </c>
      <c r="E234" s="29"/>
      <c r="F234" s="29">
        <f t="shared" si="38"/>
        <v>6314951000</v>
      </c>
      <c r="G234" s="29">
        <f t="shared" si="39"/>
        <v>1705037</v>
      </c>
      <c r="H234" s="31">
        <v>373759300</v>
      </c>
      <c r="I234" s="31"/>
      <c r="J234" s="31">
        <f t="shared" si="35"/>
        <v>373759300</v>
      </c>
      <c r="K234" s="31"/>
      <c r="L234" s="31"/>
      <c r="M234" s="31"/>
      <c r="N234" s="31">
        <v>3701400</v>
      </c>
      <c r="O234" s="31"/>
      <c r="P234" s="31"/>
      <c r="Q234" s="31">
        <v>325600000</v>
      </c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>
        <f t="shared" si="40"/>
        <v>99640</v>
      </c>
      <c r="AK234" s="33">
        <f>124260*0.3</f>
        <v>37278</v>
      </c>
      <c r="AL234" s="34">
        <v>44020</v>
      </c>
      <c r="AM234" s="34">
        <v>94</v>
      </c>
      <c r="AN234" s="34">
        <f>591*2550</f>
        <v>1507050</v>
      </c>
      <c r="AO234" s="34">
        <f t="shared" si="41"/>
        <v>253800</v>
      </c>
      <c r="AP234" s="33">
        <f>700000+100000</f>
        <v>800000</v>
      </c>
      <c r="AQ234" s="55">
        <v>9815913240458</v>
      </c>
      <c r="AR234" s="55">
        <v>2160586600</v>
      </c>
      <c r="AS234" s="55">
        <v>373759300</v>
      </c>
      <c r="AT234" s="55">
        <v>7018011700</v>
      </c>
      <c r="AU234" s="55">
        <v>4402805</v>
      </c>
      <c r="AV234" s="99">
        <v>963830849</v>
      </c>
    </row>
    <row r="235" spans="1:48" ht="15.75" customHeight="1" thickBot="1">
      <c r="A235" s="28">
        <v>44021</v>
      </c>
      <c r="B235" s="29">
        <f>74606600-K235-N235-Q235</f>
        <v>0</v>
      </c>
      <c r="C235" s="29">
        <v>1159922500</v>
      </c>
      <c r="D235" s="29"/>
      <c r="E235" s="29"/>
      <c r="F235" s="29">
        <f t="shared" si="38"/>
        <v>1159922500</v>
      </c>
      <c r="G235" s="29">
        <f t="shared" si="39"/>
        <v>313179</v>
      </c>
      <c r="H235" s="31">
        <v>6893883000</v>
      </c>
      <c r="I235" s="31"/>
      <c r="J235" s="31">
        <f t="shared" si="35"/>
        <v>6893883000</v>
      </c>
      <c r="K235" s="31"/>
      <c r="L235" s="31"/>
      <c r="M235" s="31"/>
      <c r="N235" s="31">
        <v>74606600</v>
      </c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>
        <f t="shared" si="40"/>
        <v>757969</v>
      </c>
      <c r="AK235" s="33">
        <f>256960*0.3</f>
        <v>77088</v>
      </c>
      <c r="AL235" s="34">
        <v>44021</v>
      </c>
      <c r="AM235" s="34">
        <v>168</v>
      </c>
      <c r="AN235" s="34">
        <f>541*2550</f>
        <v>1379550</v>
      </c>
      <c r="AO235" s="34">
        <f t="shared" si="41"/>
        <v>453600</v>
      </c>
      <c r="AP235" s="33">
        <v>400000</v>
      </c>
      <c r="AQ235" s="55">
        <v>12088173246040</v>
      </c>
      <c r="AR235" s="55">
        <v>36824284800</v>
      </c>
      <c r="AS235" s="55">
        <v>12295883000</v>
      </c>
      <c r="AT235" s="55">
        <v>13530412100</v>
      </c>
      <c r="AU235" s="55">
        <v>3381386</v>
      </c>
      <c r="AV235" s="99">
        <v>967212235</v>
      </c>
    </row>
    <row r="236" spans="1:48" ht="15" customHeight="1">
      <c r="A236" s="35">
        <v>44022</v>
      </c>
      <c r="B236" s="36">
        <f>4135263000-K236-N236-Q236</f>
        <v>3660735400</v>
      </c>
      <c r="C236" s="36"/>
      <c r="D236" s="36"/>
      <c r="E236" s="36"/>
      <c r="F236" s="36">
        <f t="shared" si="38"/>
        <v>3660735400</v>
      </c>
      <c r="G236" s="36">
        <f t="shared" si="39"/>
        <v>988399</v>
      </c>
      <c r="H236" s="37">
        <v>5084385000</v>
      </c>
      <c r="I236" s="37">
        <v>5440000000</v>
      </c>
      <c r="J236" s="37">
        <f t="shared" si="35"/>
        <v>10524385000</v>
      </c>
      <c r="K236" s="37"/>
      <c r="L236" s="37"/>
      <c r="M236" s="37"/>
      <c r="N236" s="37">
        <v>471695600</v>
      </c>
      <c r="O236" s="37"/>
      <c r="P236" s="37"/>
      <c r="Q236" s="37">
        <v>2832000</v>
      </c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>
        <f t="shared" si="40"/>
        <v>1613729</v>
      </c>
      <c r="AK236" s="38">
        <f>670760*0.3</f>
        <v>201228</v>
      </c>
      <c r="AL236" s="39">
        <v>44022</v>
      </c>
      <c r="AM236" s="39">
        <v>151</v>
      </c>
      <c r="AN236" s="39">
        <f>400*2550*3</f>
        <v>3060000</v>
      </c>
      <c r="AO236" s="39">
        <f t="shared" si="41"/>
        <v>407700</v>
      </c>
      <c r="AP236" s="38"/>
      <c r="AQ236" s="55">
        <v>11115885700810</v>
      </c>
      <c r="AR236" s="55">
        <v>38737280000</v>
      </c>
      <c r="AS236" s="55">
        <v>26064560300</v>
      </c>
      <c r="AT236" s="55">
        <v>29725295700</v>
      </c>
      <c r="AU236" s="55">
        <v>6271056</v>
      </c>
      <c r="AV236" s="99">
        <v>973483291</v>
      </c>
    </row>
    <row r="237" spans="1:48" ht="15" customHeight="1">
      <c r="A237" s="28">
        <v>44025</v>
      </c>
      <c r="B237" s="29">
        <f>11870010100-K237-N237-Q237</f>
        <v>11870010100</v>
      </c>
      <c r="C237" s="29">
        <v>1969186000</v>
      </c>
      <c r="D237" s="29"/>
      <c r="E237" s="29"/>
      <c r="F237" s="29">
        <f t="shared" si="38"/>
        <v>13839196100</v>
      </c>
      <c r="G237" s="29">
        <f t="shared" si="39"/>
        <v>3736583</v>
      </c>
      <c r="H237" s="31">
        <v>440589500</v>
      </c>
      <c r="I237" s="31">
        <v>18950000000</v>
      </c>
      <c r="J237" s="31">
        <f t="shared" si="35"/>
        <v>19390589500</v>
      </c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>
        <f t="shared" si="40"/>
        <v>3458584</v>
      </c>
      <c r="AK237" s="33">
        <f>32600*0.3</f>
        <v>9780</v>
      </c>
      <c r="AL237" s="34">
        <v>44025</v>
      </c>
      <c r="AM237" s="34">
        <v>252</v>
      </c>
      <c r="AN237" s="34">
        <f>560*2550</f>
        <v>1428000</v>
      </c>
      <c r="AO237" s="42">
        <f t="shared" si="41"/>
        <v>680400</v>
      </c>
      <c r="AP237" s="33">
        <v>700000</v>
      </c>
      <c r="AQ237" s="55">
        <v>9833662590770</v>
      </c>
      <c r="AR237" s="55">
        <v>43671631800</v>
      </c>
      <c r="AS237" s="55">
        <v>19390589500</v>
      </c>
      <c r="AT237" s="55">
        <v>33229785600</v>
      </c>
      <c r="AU237" s="55">
        <v>10013347</v>
      </c>
      <c r="AV237" s="99">
        <v>983496638</v>
      </c>
    </row>
    <row r="238" spans="1:48" ht="15" customHeight="1">
      <c r="A238" s="28">
        <v>44026</v>
      </c>
      <c r="B238" s="29">
        <f>1231501900-K238-N238-Q238</f>
        <v>1036732500</v>
      </c>
      <c r="C238" s="29">
        <v>2725894500</v>
      </c>
      <c r="D238" s="29"/>
      <c r="E238" s="29"/>
      <c r="F238" s="29">
        <f t="shared" si="38"/>
        <v>3762627000</v>
      </c>
      <c r="G238" s="29">
        <f t="shared" si="39"/>
        <v>1015909</v>
      </c>
      <c r="H238" s="31">
        <v>1326080000</v>
      </c>
      <c r="I238" s="31"/>
      <c r="J238" s="31">
        <f t="shared" si="35"/>
        <v>1326080000</v>
      </c>
      <c r="K238" s="31"/>
      <c r="L238" s="31"/>
      <c r="M238" s="31"/>
      <c r="N238" s="31">
        <v>101281800</v>
      </c>
      <c r="O238" s="31"/>
      <c r="P238" s="31"/>
      <c r="Q238" s="31">
        <v>93487600</v>
      </c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>
        <f t="shared" si="40"/>
        <v>178275</v>
      </c>
      <c r="AK238" s="33">
        <f>11010*0.3</f>
        <v>3303</v>
      </c>
      <c r="AL238" s="34">
        <v>44026</v>
      </c>
      <c r="AM238" s="34">
        <v>151</v>
      </c>
      <c r="AN238" s="34">
        <f>635*2550</f>
        <v>1619250</v>
      </c>
      <c r="AO238" s="42">
        <f t="shared" si="41"/>
        <v>407700</v>
      </c>
      <c r="AP238" s="33">
        <v>700000</v>
      </c>
      <c r="AQ238" s="55">
        <v>9371059144168</v>
      </c>
      <c r="AR238" s="55">
        <v>17692589400</v>
      </c>
      <c r="AS238" s="55">
        <v>1520849400</v>
      </c>
      <c r="AT238" s="55">
        <v>5283476400</v>
      </c>
      <c r="AU238" s="55">
        <v>3924437</v>
      </c>
      <c r="AV238" s="99">
        <v>987421075</v>
      </c>
    </row>
    <row r="239" spans="1:48" ht="15" customHeight="1">
      <c r="A239" s="28">
        <v>44027</v>
      </c>
      <c r="B239" s="29">
        <v>65444920700</v>
      </c>
      <c r="C239" s="29">
        <v>2755599500</v>
      </c>
      <c r="D239" s="29"/>
      <c r="E239" s="29"/>
      <c r="F239" s="29">
        <f t="shared" si="38"/>
        <v>68200520200</v>
      </c>
      <c r="G239" s="29">
        <f t="shared" si="39"/>
        <v>18414140</v>
      </c>
      <c r="H239" s="31">
        <v>3484230200</v>
      </c>
      <c r="I239" s="31">
        <v>42050500000</v>
      </c>
      <c r="J239" s="31">
        <f t="shared" si="35"/>
        <v>45534730200</v>
      </c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>
        <f t="shared" si="40"/>
        <v>7945387</v>
      </c>
      <c r="AK239" s="33">
        <v>300000</v>
      </c>
      <c r="AL239" s="34">
        <v>44027</v>
      </c>
      <c r="AM239" s="34">
        <v>975</v>
      </c>
      <c r="AN239" s="34">
        <f>1576*2550</f>
        <v>4018800</v>
      </c>
      <c r="AO239" s="42">
        <f t="shared" si="41"/>
        <v>2632500</v>
      </c>
      <c r="AP239" s="33">
        <v>700000</v>
      </c>
      <c r="AQ239" s="55">
        <v>10196769351418</v>
      </c>
      <c r="AR239" s="55">
        <v>158811077000</v>
      </c>
      <c r="AS239" s="55">
        <v>93055403200</v>
      </c>
      <c r="AT239" s="55">
        <v>161255923400</v>
      </c>
      <c r="AU239" s="55">
        <v>34010827</v>
      </c>
      <c r="AV239" s="99">
        <v>1021431902</v>
      </c>
    </row>
    <row r="240" spans="1:48" ht="15" customHeight="1" thickBot="1">
      <c r="A240" s="28">
        <v>44028</v>
      </c>
      <c r="B240" s="29">
        <v>287980000</v>
      </c>
      <c r="C240" s="29">
        <v>5134834000</v>
      </c>
      <c r="D240" s="29"/>
      <c r="E240" s="29"/>
      <c r="F240" s="29">
        <f t="shared" si="38"/>
        <v>5422814000</v>
      </c>
      <c r="G240" s="29">
        <f t="shared" si="39"/>
        <v>1464160</v>
      </c>
      <c r="H240" s="31">
        <v>0</v>
      </c>
      <c r="I240" s="31">
        <v>5422000000</v>
      </c>
      <c r="J240" s="31">
        <f t="shared" si="35"/>
        <v>5422000000</v>
      </c>
      <c r="K240" s="31">
        <v>0</v>
      </c>
      <c r="L240" s="31"/>
      <c r="M240" s="31"/>
      <c r="N240" s="31">
        <v>0</v>
      </c>
      <c r="O240" s="31"/>
      <c r="P240" s="31"/>
      <c r="Q240" s="31">
        <v>0</v>
      </c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>
        <f t="shared" si="40"/>
        <v>975960</v>
      </c>
      <c r="AK240" s="33">
        <f>400000*0.3</f>
        <v>120000</v>
      </c>
      <c r="AL240" s="34">
        <v>44028</v>
      </c>
      <c r="AM240" s="34">
        <v>102</v>
      </c>
      <c r="AN240" s="34">
        <f>1574*2550</f>
        <v>4013700</v>
      </c>
      <c r="AO240" s="34">
        <f t="shared" si="41"/>
        <v>275400</v>
      </c>
      <c r="AP240" s="33">
        <v>700000</v>
      </c>
      <c r="AQ240" s="55">
        <v>9716541770200</v>
      </c>
      <c r="AR240" s="55">
        <v>98759824000</v>
      </c>
      <c r="AS240" s="55">
        <v>10844000000</v>
      </c>
      <c r="AT240" s="55">
        <v>16266814000</v>
      </c>
      <c r="AU240" s="55">
        <v>7549220</v>
      </c>
      <c r="AV240" s="99">
        <v>1028981122</v>
      </c>
    </row>
    <row r="241" spans="1:48" ht="15" customHeight="1">
      <c r="A241" s="35">
        <v>44029</v>
      </c>
      <c r="B241" s="36">
        <v>3441011700</v>
      </c>
      <c r="C241" s="36">
        <v>0</v>
      </c>
      <c r="D241" s="36"/>
      <c r="E241" s="36"/>
      <c r="F241" s="36">
        <f t="shared" si="38"/>
        <v>3441011700</v>
      </c>
      <c r="G241" s="36">
        <f t="shared" si="39"/>
        <v>929073</v>
      </c>
      <c r="H241" s="37">
        <v>8248078400</v>
      </c>
      <c r="I241" s="37">
        <v>0</v>
      </c>
      <c r="J241" s="37">
        <f t="shared" si="35"/>
        <v>8248078400</v>
      </c>
      <c r="K241" s="37"/>
      <c r="L241" s="37"/>
      <c r="M241" s="37"/>
      <c r="N241" s="37">
        <v>365633200</v>
      </c>
      <c r="O241" s="37"/>
      <c r="P241" s="37"/>
      <c r="Q241" s="37">
        <v>571800000</v>
      </c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>
        <f t="shared" si="40"/>
        <v>1059530</v>
      </c>
      <c r="AK241" s="38">
        <f>403130*0.3</f>
        <v>120939</v>
      </c>
      <c r="AL241" s="39">
        <v>44029</v>
      </c>
      <c r="AM241" s="39">
        <v>151</v>
      </c>
      <c r="AN241" s="39">
        <f>692*2550*3</f>
        <v>5293800</v>
      </c>
      <c r="AO241" s="39">
        <f t="shared" si="41"/>
        <v>407700</v>
      </c>
      <c r="AP241" s="38"/>
      <c r="AQ241" s="55">
        <v>10745626311200</v>
      </c>
      <c r="AR241" s="55">
        <v>241370606000</v>
      </c>
      <c r="AS241" s="55">
        <v>14615511600</v>
      </c>
      <c r="AT241" s="55">
        <v>18056523300</v>
      </c>
      <c r="AU241" s="55">
        <v>7811042</v>
      </c>
      <c r="AV241" s="99">
        <v>1036792164</v>
      </c>
    </row>
    <row r="242" spans="1:48" ht="15" customHeight="1">
      <c r="A242" s="28">
        <v>44032</v>
      </c>
      <c r="B242" s="29">
        <v>11055636400</v>
      </c>
      <c r="C242" s="29">
        <v>0</v>
      </c>
      <c r="D242" s="29"/>
      <c r="E242" s="29"/>
      <c r="F242" s="29">
        <f t="shared" si="38"/>
        <v>11055636400</v>
      </c>
      <c r="G242" s="29">
        <f t="shared" si="39"/>
        <v>2985022</v>
      </c>
      <c r="H242" s="31">
        <v>2392485800</v>
      </c>
      <c r="I242" s="32">
        <v>0</v>
      </c>
      <c r="J242" s="31">
        <f t="shared" si="35"/>
        <v>2392485800</v>
      </c>
      <c r="K242" s="31"/>
      <c r="L242" s="31"/>
      <c r="M242" s="31"/>
      <c r="N242" s="31">
        <v>1353629800</v>
      </c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>
        <f t="shared" si="40"/>
        <v>502042</v>
      </c>
      <c r="AK242" s="33">
        <f>550930*0.3</f>
        <v>165279</v>
      </c>
      <c r="AL242" s="34">
        <v>44032</v>
      </c>
      <c r="AM242" s="34">
        <v>197</v>
      </c>
      <c r="AN242" s="34">
        <f>495*2550</f>
        <v>1262250</v>
      </c>
      <c r="AO242" s="34">
        <f t="shared" si="41"/>
        <v>531900</v>
      </c>
      <c r="AP242" s="33"/>
      <c r="AQ242" s="55">
        <v>11125657860946</v>
      </c>
      <c r="AR242" s="55">
        <v>11958987200</v>
      </c>
      <c r="AS242" s="55">
        <v>3746115600</v>
      </c>
      <c r="AT242" s="55">
        <v>14801752000</v>
      </c>
      <c r="AU242" s="55">
        <v>5446493</v>
      </c>
      <c r="AV242" s="99">
        <v>1042238657</v>
      </c>
    </row>
    <row r="243" spans="1:48" ht="15" customHeight="1">
      <c r="A243" s="28">
        <v>44033</v>
      </c>
      <c r="B243" s="29">
        <v>4495748600</v>
      </c>
      <c r="C243" s="29">
        <v>0</v>
      </c>
      <c r="D243" s="29"/>
      <c r="E243" s="29"/>
      <c r="F243" s="29">
        <f t="shared" si="38"/>
        <v>4495748600</v>
      </c>
      <c r="G243" s="29">
        <f t="shared" si="39"/>
        <v>1213852</v>
      </c>
      <c r="H243" s="31">
        <v>705034800</v>
      </c>
      <c r="I243" s="31">
        <v>1344500000</v>
      </c>
      <c r="J243" s="31">
        <f t="shared" si="35"/>
        <v>2049534800</v>
      </c>
      <c r="K243" s="31"/>
      <c r="L243" s="31"/>
      <c r="M243" s="31"/>
      <c r="N243" s="31">
        <v>626036200</v>
      </c>
      <c r="O243" s="31"/>
      <c r="P243" s="31"/>
      <c r="Q243" s="31">
        <v>18820000</v>
      </c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>
        <f t="shared" si="40"/>
        <v>434228</v>
      </c>
      <c r="AK243" s="33">
        <f>314100*0.3</f>
        <v>94230</v>
      </c>
      <c r="AL243" s="34">
        <v>44033</v>
      </c>
      <c r="AM243" s="34">
        <v>65</v>
      </c>
      <c r="AN243" s="34">
        <f>430*2550</f>
        <v>1096500</v>
      </c>
      <c r="AO243" s="34">
        <f t="shared" si="41"/>
        <v>175500</v>
      </c>
      <c r="AP243" s="33"/>
      <c r="AQ243" s="55">
        <v>10743399791200</v>
      </c>
      <c r="AR243" s="55">
        <v>24877608800</v>
      </c>
      <c r="AS243" s="55">
        <v>3042806000</v>
      </c>
      <c r="AT243" s="55">
        <v>7538554600</v>
      </c>
      <c r="AU243" s="55">
        <v>3014310</v>
      </c>
      <c r="AV243" s="99">
        <v>1045252967</v>
      </c>
    </row>
    <row r="244" spans="1:48" ht="15" customHeight="1">
      <c r="A244" s="28">
        <v>44034</v>
      </c>
      <c r="B244" s="29">
        <v>7231259100</v>
      </c>
      <c r="C244" s="29">
        <v>0</v>
      </c>
      <c r="D244" s="29"/>
      <c r="E244" s="29"/>
      <c r="F244" s="29">
        <f t="shared" si="38"/>
        <v>7231259100</v>
      </c>
      <c r="G244" s="29">
        <f t="shared" si="39"/>
        <v>1952440</v>
      </c>
      <c r="H244" s="31">
        <v>474724200</v>
      </c>
      <c r="I244" s="31"/>
      <c r="J244" s="31">
        <f t="shared" si="35"/>
        <v>474724200</v>
      </c>
      <c r="K244" s="31"/>
      <c r="L244" s="31"/>
      <c r="M244" s="31"/>
      <c r="N244" s="31">
        <v>672357400</v>
      </c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>
        <f t="shared" si="40"/>
        <v>172295</v>
      </c>
      <c r="AK244" s="33">
        <f>267640*0.3</f>
        <v>80292</v>
      </c>
      <c r="AL244" s="34">
        <v>44034</v>
      </c>
      <c r="AM244" s="34">
        <v>96</v>
      </c>
      <c r="AN244" s="34">
        <f>334*2550</f>
        <v>851700</v>
      </c>
      <c r="AO244" s="34">
        <f t="shared" si="41"/>
        <v>259200</v>
      </c>
      <c r="AP244" s="33"/>
      <c r="AQ244" s="55">
        <v>10163512468800</v>
      </c>
      <c r="AR244" s="55">
        <v>32508014400</v>
      </c>
      <c r="AS244" s="55">
        <v>1147081600</v>
      </c>
      <c r="AT244" s="55">
        <v>8378340700</v>
      </c>
      <c r="AU244" s="55">
        <v>3315927</v>
      </c>
      <c r="AV244" s="99">
        <v>1048568894</v>
      </c>
    </row>
    <row r="245" spans="1:48" ht="15" customHeight="1" thickBot="1">
      <c r="A245" s="28">
        <v>44035</v>
      </c>
      <c r="B245" s="29">
        <v>3292000000</v>
      </c>
      <c r="C245" s="29">
        <v>0</v>
      </c>
      <c r="D245" s="29"/>
      <c r="E245" s="29"/>
      <c r="F245" s="29">
        <f t="shared" si="38"/>
        <v>3292000000</v>
      </c>
      <c r="G245" s="29">
        <f t="shared" si="39"/>
        <v>888840</v>
      </c>
      <c r="H245" s="31">
        <v>3126620500</v>
      </c>
      <c r="I245" s="31">
        <v>1330000000</v>
      </c>
      <c r="J245" s="31">
        <f t="shared" si="35"/>
        <v>4456620500</v>
      </c>
      <c r="K245" s="31"/>
      <c r="L245" s="31"/>
      <c r="M245" s="31"/>
      <c r="N245" s="31">
        <v>882549000</v>
      </c>
      <c r="O245" s="31"/>
      <c r="P245" s="31"/>
      <c r="Q245" s="31">
        <v>753709600</v>
      </c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>
        <f t="shared" si="40"/>
        <v>871602</v>
      </c>
      <c r="AK245" s="33">
        <f>417750*0.3</f>
        <v>125325</v>
      </c>
      <c r="AL245" s="34">
        <v>44035</v>
      </c>
      <c r="AM245" s="34">
        <v>90</v>
      </c>
      <c r="AN245" s="34">
        <f>304*2550</f>
        <v>775200</v>
      </c>
      <c r="AO245" s="34">
        <f t="shared" si="41"/>
        <v>243000</v>
      </c>
      <c r="AP245" s="33"/>
      <c r="AQ245" s="55">
        <v>9067792816704</v>
      </c>
      <c r="AR245" s="55">
        <v>126399706800</v>
      </c>
      <c r="AS245" s="55">
        <v>6518899100</v>
      </c>
      <c r="AT245" s="55">
        <v>9810899100</v>
      </c>
      <c r="AU245" s="55">
        <v>2903967</v>
      </c>
      <c r="AV245" s="99">
        <v>1051472861</v>
      </c>
    </row>
    <row r="246" spans="1:48" ht="15" customHeight="1">
      <c r="A246" s="35">
        <v>44036</v>
      </c>
      <c r="B246" s="36">
        <v>28434175900</v>
      </c>
      <c r="C246" s="36">
        <v>0</v>
      </c>
      <c r="D246" s="36"/>
      <c r="E246" s="36"/>
      <c r="F246" s="36">
        <f t="shared" si="38"/>
        <v>28434175900</v>
      </c>
      <c r="G246" s="36">
        <f t="shared" si="39"/>
        <v>7677227</v>
      </c>
      <c r="H246" s="37">
        <v>2438534600</v>
      </c>
      <c r="I246" s="37">
        <v>10351000000</v>
      </c>
      <c r="J246" s="37">
        <f t="shared" si="35"/>
        <v>12789534600</v>
      </c>
      <c r="K246" s="37"/>
      <c r="L246" s="37"/>
      <c r="M246" s="37"/>
      <c r="N246" s="37">
        <v>4764810400</v>
      </c>
      <c r="O246" s="37"/>
      <c r="P246" s="37"/>
      <c r="Q246" s="37">
        <v>359076300</v>
      </c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>
        <f t="shared" si="40"/>
        <v>3048841</v>
      </c>
      <c r="AK246" s="38">
        <f>1009900*0.3</f>
        <v>302970</v>
      </c>
      <c r="AL246" s="39">
        <v>44036</v>
      </c>
      <c r="AM246" s="39">
        <v>359</v>
      </c>
      <c r="AN246" s="39">
        <f>139*2550*3</f>
        <v>1063350</v>
      </c>
      <c r="AO246" s="39">
        <f t="shared" si="41"/>
        <v>969300</v>
      </c>
      <c r="AP246" s="38"/>
      <c r="AQ246" s="55">
        <v>17284457910964</v>
      </c>
      <c r="AR246" s="55">
        <v>188092446400</v>
      </c>
      <c r="AS246" s="55">
        <v>20492421300</v>
      </c>
      <c r="AT246" s="55">
        <v>48926597200</v>
      </c>
      <c r="AU246" s="55">
        <v>13061688</v>
      </c>
      <c r="AV246" s="99">
        <v>1064534549</v>
      </c>
    </row>
    <row r="247" spans="1:48" ht="15" customHeight="1">
      <c r="A247" s="28">
        <v>44039</v>
      </c>
      <c r="B247" s="29">
        <v>3343968000</v>
      </c>
      <c r="C247" s="29">
        <v>3612307500</v>
      </c>
      <c r="D247" s="29"/>
      <c r="E247" s="29"/>
      <c r="F247" s="29">
        <f t="shared" si="38"/>
        <v>6956275500</v>
      </c>
      <c r="G247" s="29">
        <f t="shared" si="39"/>
        <v>1878194</v>
      </c>
      <c r="H247" s="31">
        <v>1632056600</v>
      </c>
      <c r="I247" s="31"/>
      <c r="J247" s="31">
        <f t="shared" si="35"/>
        <v>1632056600</v>
      </c>
      <c r="K247" s="31"/>
      <c r="L247" s="31"/>
      <c r="M247" s="31"/>
      <c r="N247" s="31">
        <v>2082209700</v>
      </c>
      <c r="O247" s="31"/>
      <c r="P247" s="31"/>
      <c r="Q247" s="31">
        <v>171547000</v>
      </c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>
        <f t="shared" si="40"/>
        <v>581938</v>
      </c>
      <c r="AK247" s="33">
        <f>423570*0.3</f>
        <v>127071</v>
      </c>
      <c r="AL247" s="34">
        <v>44039</v>
      </c>
      <c r="AM247" s="34">
        <v>143</v>
      </c>
      <c r="AN247" s="34">
        <f>232*2550</f>
        <v>591600</v>
      </c>
      <c r="AO247" s="42">
        <f t="shared" si="41"/>
        <v>386100</v>
      </c>
      <c r="AP247" s="33">
        <v>700000</v>
      </c>
      <c r="AQ247" s="55">
        <v>16416273055140</v>
      </c>
      <c r="AR247" s="55">
        <v>89796983600</v>
      </c>
      <c r="AS247" s="55">
        <v>3924002100</v>
      </c>
      <c r="AT247" s="55">
        <v>10880277600</v>
      </c>
      <c r="AU247" s="55">
        <v>4264903</v>
      </c>
      <c r="AV247" s="99">
        <v>1068799452</v>
      </c>
    </row>
    <row r="248" spans="1:48" ht="15" customHeight="1">
      <c r="A248" s="28">
        <v>44040</v>
      </c>
      <c r="B248" s="29">
        <v>2881065000</v>
      </c>
      <c r="C248" s="29">
        <v>0</v>
      </c>
      <c r="D248" s="29"/>
      <c r="E248" s="29"/>
      <c r="F248" s="29">
        <f t="shared" si="38"/>
        <v>2881065000</v>
      </c>
      <c r="G248" s="29">
        <f t="shared" si="39"/>
        <v>777888</v>
      </c>
      <c r="H248" s="31">
        <v>1898518500</v>
      </c>
      <c r="I248" s="31">
        <v>3892381000</v>
      </c>
      <c r="J248" s="31">
        <f t="shared" si="35"/>
        <v>5790899500</v>
      </c>
      <c r="K248" s="31"/>
      <c r="L248" s="31"/>
      <c r="M248" s="31"/>
      <c r="N248" s="31">
        <v>867652500</v>
      </c>
      <c r="O248" s="31"/>
      <c r="P248" s="31"/>
      <c r="Q248" s="31">
        <v>2720376400</v>
      </c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>
        <f t="shared" si="40"/>
        <v>1551514</v>
      </c>
      <c r="AK248" s="33">
        <f>263380*0.3</f>
        <v>79014</v>
      </c>
      <c r="AL248" s="34">
        <v>44040</v>
      </c>
      <c r="AM248" s="34">
        <v>422</v>
      </c>
      <c r="AN248" s="34">
        <f>638*2550</f>
        <v>1626900</v>
      </c>
      <c r="AO248" s="34">
        <f t="shared" si="41"/>
        <v>1139400</v>
      </c>
      <c r="AP248" s="33"/>
      <c r="AQ248" s="55">
        <v>11838219608528</v>
      </c>
      <c r="AR248" s="55">
        <v>72456248000</v>
      </c>
      <c r="AS248" s="55">
        <v>10192464200</v>
      </c>
      <c r="AT248" s="55">
        <v>13073529200</v>
      </c>
      <c r="AU248" s="55">
        <v>5174716</v>
      </c>
      <c r="AV248" s="99">
        <v>1073974168</v>
      </c>
    </row>
    <row r="249" spans="1:48" ht="15" customHeight="1">
      <c r="A249" s="28">
        <v>44041</v>
      </c>
      <c r="B249" s="29">
        <v>6867186000</v>
      </c>
      <c r="C249" s="29">
        <v>0</v>
      </c>
      <c r="D249" s="29"/>
      <c r="E249" s="29"/>
      <c r="F249" s="29">
        <f t="shared" si="38"/>
        <v>6867186000</v>
      </c>
      <c r="G249" s="29">
        <f t="shared" si="39"/>
        <v>1854140</v>
      </c>
      <c r="H249" s="31">
        <v>2174672300</v>
      </c>
      <c r="I249" s="31">
        <v>10968500000</v>
      </c>
      <c r="J249" s="31">
        <f t="shared" si="35"/>
        <v>13143172300</v>
      </c>
      <c r="K249" s="31"/>
      <c r="L249" s="31"/>
      <c r="M249" s="31"/>
      <c r="N249" s="31">
        <v>2323471800</v>
      </c>
      <c r="O249" s="31"/>
      <c r="P249" s="31"/>
      <c r="Q249" s="31">
        <v>2716105800</v>
      </c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>
        <f t="shared" si="40"/>
        <v>3116319</v>
      </c>
      <c r="AK249" s="33">
        <f>1072760*0.3</f>
        <v>321828</v>
      </c>
      <c r="AL249" s="34">
        <v>44041</v>
      </c>
      <c r="AM249" s="34">
        <v>390</v>
      </c>
      <c r="AN249" s="34">
        <f>738*2550</f>
        <v>1881900</v>
      </c>
      <c r="AO249" s="34">
        <f t="shared" si="41"/>
        <v>1053000</v>
      </c>
      <c r="AP249" s="33"/>
      <c r="AQ249" s="55">
        <v>13272955997904</v>
      </c>
      <c r="AR249" s="55">
        <v>228249210200</v>
      </c>
      <c r="AS249" s="55">
        <v>27924749900</v>
      </c>
      <c r="AT249" s="55">
        <v>34791935900</v>
      </c>
      <c r="AU249" s="55">
        <v>8227187</v>
      </c>
      <c r="AV249" s="99">
        <v>1082201355</v>
      </c>
    </row>
    <row r="250" spans="1:48" ht="15" customHeight="1">
      <c r="A250" s="28">
        <v>44042</v>
      </c>
      <c r="B250" s="29">
        <v>0</v>
      </c>
      <c r="C250" s="29">
        <v>0</v>
      </c>
      <c r="D250" s="29"/>
      <c r="E250" s="29"/>
      <c r="F250" s="29">
        <f t="shared" si="38"/>
        <v>0</v>
      </c>
      <c r="G250" s="29">
        <f t="shared" si="39"/>
        <v>0</v>
      </c>
      <c r="H250" s="31">
        <v>2267528700</v>
      </c>
      <c r="I250" s="31">
        <v>0</v>
      </c>
      <c r="J250" s="31">
        <f t="shared" si="35"/>
        <v>2267528700</v>
      </c>
      <c r="K250" s="31"/>
      <c r="L250" s="31">
        <v>282724500</v>
      </c>
      <c r="M250" s="31">
        <v>2218000000</v>
      </c>
      <c r="N250" s="31">
        <f t="shared" ref="N250:N313" si="42">L250+M250</f>
        <v>2500724500</v>
      </c>
      <c r="O250" s="31"/>
      <c r="P250" s="31"/>
      <c r="Q250" s="31">
        <v>25610000</v>
      </c>
      <c r="R250" s="31">
        <v>1039000000</v>
      </c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>
        <f t="shared" ref="AJ250:AJ260" si="43">ROUND(H250*0.0108%+I250*0.018%+K250*0.018%+N250*0.018%+Q250*0.018%+R250*0.018%,0)</f>
        <v>886653</v>
      </c>
      <c r="AK250" s="33">
        <f>402230*0.3</f>
        <v>120669</v>
      </c>
      <c r="AL250" s="34">
        <v>44042</v>
      </c>
      <c r="AM250" s="34">
        <v>88</v>
      </c>
      <c r="AN250" s="34">
        <f>662*2550</f>
        <v>1688100</v>
      </c>
      <c r="AO250" s="34">
        <f t="shared" si="41"/>
        <v>237600</v>
      </c>
      <c r="AP250" s="33"/>
      <c r="AQ250" s="55">
        <v>7511395607300</v>
      </c>
      <c r="AR250" s="55">
        <v>24301190400</v>
      </c>
      <c r="AS250" s="55">
        <v>6546756900</v>
      </c>
      <c r="AT250" s="55">
        <v>6546756900</v>
      </c>
      <c r="AU250" s="55">
        <v>2933022</v>
      </c>
      <c r="AV250" s="99">
        <v>1085134377</v>
      </c>
    </row>
    <row r="251" spans="1:48" ht="15" customHeight="1">
      <c r="A251" s="41">
        <v>44043</v>
      </c>
      <c r="B251" s="29">
        <v>0</v>
      </c>
      <c r="C251" s="29">
        <v>0</v>
      </c>
      <c r="D251" s="29"/>
      <c r="E251" s="29"/>
      <c r="F251" s="29">
        <f t="shared" si="38"/>
        <v>0</v>
      </c>
      <c r="G251" s="29">
        <f t="shared" si="39"/>
        <v>0</v>
      </c>
      <c r="H251" s="32">
        <v>2322516000</v>
      </c>
      <c r="I251" s="32">
        <v>1240500000</v>
      </c>
      <c r="J251" s="31">
        <f t="shared" si="35"/>
        <v>3563016000</v>
      </c>
      <c r="K251" s="32"/>
      <c r="L251" s="32">
        <v>776798500</v>
      </c>
      <c r="M251" s="32"/>
      <c r="N251" s="32">
        <f t="shared" si="42"/>
        <v>776798500</v>
      </c>
      <c r="O251" s="32">
        <v>1553035500</v>
      </c>
      <c r="P251" s="32"/>
      <c r="Q251" s="32">
        <f t="shared" ref="Q251:Q314" si="44">O251+P251</f>
        <v>1553035500</v>
      </c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1">
        <f t="shared" si="43"/>
        <v>893492</v>
      </c>
      <c r="AK251" s="46">
        <f>291530*0.3</f>
        <v>87459</v>
      </c>
      <c r="AL251" s="42">
        <v>44043</v>
      </c>
      <c r="AM251" s="42">
        <v>122</v>
      </c>
      <c r="AN251" s="42">
        <f>648*2550</f>
        <v>1652400</v>
      </c>
      <c r="AO251" s="42">
        <f t="shared" si="41"/>
        <v>329400</v>
      </c>
      <c r="AP251" s="46">
        <v>1600000</v>
      </c>
      <c r="AQ251" s="55">
        <v>9032653321598</v>
      </c>
      <c r="AR251" s="55">
        <v>15434839400</v>
      </c>
      <c r="AS251" s="55">
        <v>7560752700</v>
      </c>
      <c r="AT251" s="55">
        <v>7560752700</v>
      </c>
      <c r="AU251" s="55">
        <v>4562751</v>
      </c>
      <c r="AV251" s="99">
        <v>1089697128</v>
      </c>
    </row>
    <row r="252" spans="1:48" ht="15" customHeight="1">
      <c r="A252" s="28">
        <v>44046</v>
      </c>
      <c r="B252" s="29">
        <v>0</v>
      </c>
      <c r="C252" s="29">
        <v>0</v>
      </c>
      <c r="D252" s="29"/>
      <c r="E252" s="29"/>
      <c r="F252" s="29">
        <f t="shared" si="38"/>
        <v>0</v>
      </c>
      <c r="G252" s="29">
        <f t="shared" si="39"/>
        <v>0</v>
      </c>
      <c r="H252" s="31">
        <v>226445500</v>
      </c>
      <c r="I252" s="31">
        <v>9202400000</v>
      </c>
      <c r="J252" s="31">
        <f t="shared" si="35"/>
        <v>9428845500</v>
      </c>
      <c r="K252" s="31"/>
      <c r="L252" s="31">
        <v>95642000</v>
      </c>
      <c r="M252" s="31"/>
      <c r="N252" s="31">
        <f t="shared" si="42"/>
        <v>95642000</v>
      </c>
      <c r="O252" s="31">
        <v>812171100</v>
      </c>
      <c r="P252" s="31"/>
      <c r="Q252" s="31">
        <f t="shared" si="44"/>
        <v>812171100</v>
      </c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>
        <f t="shared" si="43"/>
        <v>1844294</v>
      </c>
      <c r="AK252" s="33">
        <f>195390*0.3</f>
        <v>58617</v>
      </c>
      <c r="AL252" s="34">
        <v>44046</v>
      </c>
      <c r="AM252" s="34">
        <v>188</v>
      </c>
      <c r="AN252" s="34">
        <f>662*2550+(648*2550*2)</f>
        <v>4992900</v>
      </c>
      <c r="AO252" s="34">
        <f t="shared" si="41"/>
        <v>507600</v>
      </c>
      <c r="AP252" s="33">
        <f>8368920+222300</f>
        <v>8591220</v>
      </c>
      <c r="AQ252" s="55">
        <v>13496390900580</v>
      </c>
      <c r="AR252" s="55">
        <v>24285746800</v>
      </c>
      <c r="AS252" s="55">
        <v>13833544600</v>
      </c>
      <c r="AT252" s="55">
        <v>13833544600</v>
      </c>
      <c r="AU252" s="55">
        <v>15994631</v>
      </c>
      <c r="AV252" s="99">
        <v>1105691759</v>
      </c>
    </row>
    <row r="253" spans="1:48" ht="15" customHeight="1">
      <c r="A253" s="28">
        <v>44047</v>
      </c>
      <c r="B253" s="29">
        <v>0</v>
      </c>
      <c r="C253" s="29">
        <v>0</v>
      </c>
      <c r="D253" s="29"/>
      <c r="E253" s="29"/>
      <c r="F253" s="29">
        <f t="shared" si="38"/>
        <v>0</v>
      </c>
      <c r="G253" s="29">
        <f t="shared" si="39"/>
        <v>0</v>
      </c>
      <c r="H253" s="31">
        <v>835613600</v>
      </c>
      <c r="I253" s="31">
        <v>0</v>
      </c>
      <c r="J253" s="31">
        <f t="shared" si="35"/>
        <v>835613600</v>
      </c>
      <c r="K253" s="31"/>
      <c r="L253" s="31"/>
      <c r="M253" s="31"/>
      <c r="N253" s="31">
        <f t="shared" si="42"/>
        <v>0</v>
      </c>
      <c r="O253" s="31">
        <v>8810000</v>
      </c>
      <c r="P253" s="31"/>
      <c r="Q253" s="31">
        <f t="shared" si="44"/>
        <v>8810000</v>
      </c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>
        <f t="shared" si="43"/>
        <v>91832</v>
      </c>
      <c r="AK253" s="33">
        <f>21080*0.3</f>
        <v>6324</v>
      </c>
      <c r="AL253" s="34">
        <v>44047</v>
      </c>
      <c r="AM253" s="34">
        <v>147</v>
      </c>
      <c r="AN253" s="34">
        <f>711*2550</f>
        <v>1813050</v>
      </c>
      <c r="AO253" s="34">
        <f t="shared" si="41"/>
        <v>396900</v>
      </c>
      <c r="AP253" s="33"/>
      <c r="AQ253" s="55">
        <v>9857689596600</v>
      </c>
      <c r="AR253" s="55">
        <v>6272168800</v>
      </c>
      <c r="AS253" s="55">
        <v>844423600</v>
      </c>
      <c r="AT253" s="55">
        <v>844423600</v>
      </c>
      <c r="AU253" s="55">
        <v>2308106</v>
      </c>
      <c r="AV253" s="99">
        <v>1107999865</v>
      </c>
    </row>
    <row r="254" spans="1:48" ht="15" customHeight="1">
      <c r="A254" s="28">
        <v>44048</v>
      </c>
      <c r="B254" s="29">
        <v>13591893300</v>
      </c>
      <c r="C254" s="29">
        <v>0</v>
      </c>
      <c r="D254" s="29"/>
      <c r="E254" s="29"/>
      <c r="F254" s="29">
        <f t="shared" si="38"/>
        <v>13591893300</v>
      </c>
      <c r="G254" s="29">
        <f t="shared" si="39"/>
        <v>3669811</v>
      </c>
      <c r="H254" s="31">
        <v>1864682100</v>
      </c>
      <c r="I254" s="31"/>
      <c r="J254" s="31">
        <f t="shared" si="35"/>
        <v>1864682100</v>
      </c>
      <c r="K254" s="31"/>
      <c r="L254" s="31">
        <v>6409010800</v>
      </c>
      <c r="M254" s="31"/>
      <c r="N254" s="31">
        <f t="shared" si="42"/>
        <v>6409010800</v>
      </c>
      <c r="O254" s="31">
        <v>1132292100</v>
      </c>
      <c r="P254" s="31"/>
      <c r="Q254" s="31">
        <f t="shared" si="44"/>
        <v>1132292100</v>
      </c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>
        <f t="shared" si="43"/>
        <v>1558820</v>
      </c>
      <c r="AK254" s="33">
        <f>126910*0.3</f>
        <v>38073</v>
      </c>
      <c r="AL254" s="34">
        <v>44048</v>
      </c>
      <c r="AM254" s="34">
        <v>339</v>
      </c>
      <c r="AN254" s="34">
        <f>1004*2550</f>
        <v>2560200</v>
      </c>
      <c r="AO254" s="34">
        <f t="shared" si="41"/>
        <v>915300</v>
      </c>
      <c r="AP254" s="33"/>
      <c r="AQ254" s="55">
        <v>12491716711510</v>
      </c>
      <c r="AR254" s="55">
        <v>59503994600</v>
      </c>
      <c r="AS254" s="55">
        <v>9405985000</v>
      </c>
      <c r="AT254" s="55">
        <v>22997878300</v>
      </c>
      <c r="AU254" s="55">
        <v>8742204</v>
      </c>
      <c r="AV254" s="99">
        <v>1116742069</v>
      </c>
    </row>
    <row r="255" spans="1:48" ht="15.75" customHeight="1">
      <c r="A255" s="28">
        <v>44049</v>
      </c>
      <c r="B255" s="29">
        <v>8567787400</v>
      </c>
      <c r="C255" s="29">
        <v>0</v>
      </c>
      <c r="D255" s="29"/>
      <c r="E255" s="29"/>
      <c r="F255" s="29">
        <f t="shared" si="38"/>
        <v>8567787400</v>
      </c>
      <c r="G255" s="29">
        <f t="shared" si="39"/>
        <v>2313303</v>
      </c>
      <c r="H255" s="31">
        <v>5854415500</v>
      </c>
      <c r="I255" s="31"/>
      <c r="J255" s="31">
        <f t="shared" si="35"/>
        <v>5854415500</v>
      </c>
      <c r="K255" s="31"/>
      <c r="L255" s="31">
        <v>5823103900</v>
      </c>
      <c r="M255" s="31"/>
      <c r="N255" s="31">
        <f t="shared" si="42"/>
        <v>5823103900</v>
      </c>
      <c r="O255" s="31">
        <v>1587868500</v>
      </c>
      <c r="P255" s="31"/>
      <c r="Q255" s="31">
        <f t="shared" si="44"/>
        <v>1587868500</v>
      </c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>
        <f t="shared" si="43"/>
        <v>1966252</v>
      </c>
      <c r="AK255" s="33">
        <f>353900*0.3</f>
        <v>106170</v>
      </c>
      <c r="AL255" s="34">
        <v>44049</v>
      </c>
      <c r="AM255" s="34">
        <v>314</v>
      </c>
      <c r="AN255" s="34">
        <f>1174*2550</f>
        <v>2993700</v>
      </c>
      <c r="AO255" s="34">
        <f t="shared" si="41"/>
        <v>847800</v>
      </c>
      <c r="AP255" s="33"/>
      <c r="AQ255" s="55">
        <v>10045007748880</v>
      </c>
      <c r="AR255" s="55">
        <v>35985855400</v>
      </c>
      <c r="AS255" s="55">
        <v>15314239600</v>
      </c>
      <c r="AT255" s="55">
        <v>23882027000</v>
      </c>
      <c r="AU255" s="55">
        <v>8227225</v>
      </c>
      <c r="AV255" s="99">
        <v>1124969294</v>
      </c>
    </row>
    <row r="256" spans="1:48" ht="15" customHeight="1">
      <c r="A256" s="28">
        <v>44050</v>
      </c>
      <c r="B256" s="29">
        <v>3468135200</v>
      </c>
      <c r="C256" s="29">
        <v>0</v>
      </c>
      <c r="D256" s="29"/>
      <c r="E256" s="29"/>
      <c r="F256" s="29">
        <f t="shared" si="38"/>
        <v>3468135200</v>
      </c>
      <c r="G256" s="29">
        <f t="shared" si="39"/>
        <v>936397</v>
      </c>
      <c r="H256" s="31">
        <v>1328414800</v>
      </c>
      <c r="I256" s="31">
        <v>0</v>
      </c>
      <c r="J256" s="31">
        <f t="shared" si="35"/>
        <v>1328414800</v>
      </c>
      <c r="K256" s="31"/>
      <c r="L256" s="31">
        <v>4597238500</v>
      </c>
      <c r="M256" s="31">
        <v>0</v>
      </c>
      <c r="N256" s="31">
        <f t="shared" si="42"/>
        <v>4597238500</v>
      </c>
      <c r="O256" s="31">
        <v>1039763200</v>
      </c>
      <c r="P256" s="31"/>
      <c r="Q256" s="31">
        <f t="shared" si="44"/>
        <v>1039763200</v>
      </c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>
        <f t="shared" si="43"/>
        <v>1158129</v>
      </c>
      <c r="AK256" s="33">
        <f>33010*0.3</f>
        <v>9903</v>
      </c>
      <c r="AL256" s="34">
        <v>44050</v>
      </c>
      <c r="AM256" s="34">
        <v>153</v>
      </c>
      <c r="AN256" s="34">
        <f>1291*2550*3</f>
        <v>9876150</v>
      </c>
      <c r="AO256" s="34">
        <f t="shared" si="41"/>
        <v>413100</v>
      </c>
      <c r="AP256" s="33"/>
      <c r="AQ256" s="55">
        <v>10310503850930</v>
      </c>
      <c r="AR256" s="55">
        <v>21728391800</v>
      </c>
      <c r="AS256" s="55">
        <v>6965416500</v>
      </c>
      <c r="AT256" s="55">
        <v>10433551700</v>
      </c>
      <c r="AU256" s="55">
        <v>12393679</v>
      </c>
      <c r="AV256" s="99">
        <v>1137362973</v>
      </c>
    </row>
    <row r="257" spans="1:48" ht="15" customHeight="1">
      <c r="A257" s="28">
        <v>44053</v>
      </c>
      <c r="B257" s="29">
        <v>12112675900</v>
      </c>
      <c r="C257" s="29">
        <v>0</v>
      </c>
      <c r="D257" s="29"/>
      <c r="E257" s="29"/>
      <c r="F257" s="29">
        <f t="shared" si="38"/>
        <v>12112675900</v>
      </c>
      <c r="G257" s="29">
        <f t="shared" si="39"/>
        <v>3270422</v>
      </c>
      <c r="H257" s="31">
        <v>6182600000</v>
      </c>
      <c r="I257" s="31">
        <v>16618644400</v>
      </c>
      <c r="J257" s="31">
        <f t="shared" si="35"/>
        <v>22801244400</v>
      </c>
      <c r="K257" s="31"/>
      <c r="L257" s="31">
        <v>6958149400</v>
      </c>
      <c r="M257" s="31">
        <v>584250000</v>
      </c>
      <c r="N257" s="31">
        <f t="shared" si="42"/>
        <v>7542399400</v>
      </c>
      <c r="O257" s="31">
        <v>424237500</v>
      </c>
      <c r="P257" s="31"/>
      <c r="Q257" s="31">
        <f t="shared" si="44"/>
        <v>424237500</v>
      </c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>
        <f t="shared" si="43"/>
        <v>5093071</v>
      </c>
      <c r="AK257" s="33">
        <f>300000+50000*0.3</f>
        <v>315000</v>
      </c>
      <c r="AL257" s="34">
        <v>44053</v>
      </c>
      <c r="AM257" s="34">
        <v>138</v>
      </c>
      <c r="AN257" s="34">
        <f>1413*2550</f>
        <v>3603150</v>
      </c>
      <c r="AO257" s="34">
        <f t="shared" si="41"/>
        <v>372600</v>
      </c>
      <c r="AP257" s="33"/>
      <c r="AQ257" s="55">
        <v>11394492897480</v>
      </c>
      <c r="AR257" s="55">
        <v>73512280000</v>
      </c>
      <c r="AS257" s="55">
        <v>48130715700</v>
      </c>
      <c r="AT257" s="55">
        <v>60243391600</v>
      </c>
      <c r="AU257" s="55">
        <v>12654243</v>
      </c>
      <c r="AV257" s="99">
        <v>1150017216</v>
      </c>
    </row>
    <row r="258" spans="1:48" ht="15" customHeight="1">
      <c r="A258" s="28">
        <v>44054</v>
      </c>
      <c r="B258" s="29">
        <v>10075000</v>
      </c>
      <c r="C258" s="29">
        <v>4228714000</v>
      </c>
      <c r="D258" s="29"/>
      <c r="E258" s="29"/>
      <c r="F258" s="29">
        <f t="shared" si="38"/>
        <v>4238789000</v>
      </c>
      <c r="G258" s="29">
        <f t="shared" si="39"/>
        <v>1144473</v>
      </c>
      <c r="H258" s="31">
        <v>2884399400</v>
      </c>
      <c r="I258" s="31"/>
      <c r="J258" s="31">
        <f t="shared" si="35"/>
        <v>2884399400</v>
      </c>
      <c r="K258" s="31"/>
      <c r="L258" s="31">
        <v>5900000</v>
      </c>
      <c r="M258" s="31"/>
      <c r="N258" s="31">
        <f t="shared" si="42"/>
        <v>5900000</v>
      </c>
      <c r="O258" s="31">
        <v>909000</v>
      </c>
      <c r="P258" s="31"/>
      <c r="Q258" s="31">
        <f t="shared" si="44"/>
        <v>909000</v>
      </c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>
        <f t="shared" si="43"/>
        <v>312741</v>
      </c>
      <c r="AK258" s="33">
        <f>20000*0.3</f>
        <v>6000</v>
      </c>
      <c r="AL258" s="34">
        <v>44054</v>
      </c>
      <c r="AM258" s="34">
        <v>229</v>
      </c>
      <c r="AN258" s="34">
        <f>1438*2550</f>
        <v>3666900</v>
      </c>
      <c r="AO258" s="34">
        <f t="shared" si="41"/>
        <v>618300</v>
      </c>
      <c r="AP258" s="33">
        <v>800000</v>
      </c>
      <c r="AQ258" s="55">
        <v>10851164921270</v>
      </c>
      <c r="AR258" s="55">
        <v>12455160000</v>
      </c>
      <c r="AS258" s="55">
        <v>2891208400</v>
      </c>
      <c r="AT258" s="55">
        <v>7129997400</v>
      </c>
      <c r="AU258" s="55">
        <v>6548414</v>
      </c>
      <c r="AV258" s="99">
        <v>1156565630</v>
      </c>
    </row>
    <row r="259" spans="1:48" ht="15" customHeight="1">
      <c r="A259" s="28">
        <v>44055</v>
      </c>
      <c r="B259" s="29">
        <v>6007517700</v>
      </c>
      <c r="C259" s="29">
        <v>2398933000</v>
      </c>
      <c r="D259" s="29"/>
      <c r="E259" s="29"/>
      <c r="F259" s="29">
        <f t="shared" si="38"/>
        <v>8406450700</v>
      </c>
      <c r="G259" s="29">
        <f t="shared" si="39"/>
        <v>2269742</v>
      </c>
      <c r="H259" s="31">
        <v>2383973200</v>
      </c>
      <c r="I259" s="31">
        <v>5781030000</v>
      </c>
      <c r="J259" s="31">
        <f t="shared" si="35"/>
        <v>8165003200</v>
      </c>
      <c r="K259" s="31"/>
      <c r="L259" s="31">
        <v>583500000</v>
      </c>
      <c r="M259" s="31"/>
      <c r="N259" s="31">
        <f t="shared" si="42"/>
        <v>583500000</v>
      </c>
      <c r="O259" s="31">
        <v>273483600</v>
      </c>
      <c r="P259" s="31"/>
      <c r="Q259" s="31">
        <f t="shared" si="44"/>
        <v>273483600</v>
      </c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>
        <f t="shared" si="43"/>
        <v>1452312</v>
      </c>
      <c r="AK259" s="33">
        <f>521200*0.3</f>
        <v>156360</v>
      </c>
      <c r="AL259" s="34">
        <v>44055</v>
      </c>
      <c r="AM259" s="34">
        <v>107</v>
      </c>
      <c r="AN259" s="34">
        <f>1441*2550</f>
        <v>3674550</v>
      </c>
      <c r="AO259" s="34">
        <f t="shared" si="41"/>
        <v>288900</v>
      </c>
      <c r="AP259" s="33">
        <v>900000</v>
      </c>
      <c r="AQ259" s="55">
        <v>11382469563810</v>
      </c>
      <c r="AR259" s="55">
        <v>21300987600</v>
      </c>
      <c r="AS259" s="55">
        <v>14803016800</v>
      </c>
      <c r="AT259" s="55">
        <v>23209467500</v>
      </c>
      <c r="AU259" s="55">
        <v>8741864</v>
      </c>
      <c r="AV259" s="99">
        <v>1165307494</v>
      </c>
    </row>
    <row r="260" spans="1:48" ht="15" customHeight="1">
      <c r="A260" s="28">
        <v>44056</v>
      </c>
      <c r="B260" s="29">
        <v>37196785200</v>
      </c>
      <c r="C260" s="29">
        <v>0</v>
      </c>
      <c r="D260" s="29"/>
      <c r="E260" s="29"/>
      <c r="F260" s="29">
        <f t="shared" si="38"/>
        <v>37196785200</v>
      </c>
      <c r="G260" s="29">
        <f t="shared" si="39"/>
        <v>10043132</v>
      </c>
      <c r="H260" s="31">
        <v>2956227800</v>
      </c>
      <c r="I260" s="31">
        <v>43217500000</v>
      </c>
      <c r="J260" s="31">
        <f t="shared" si="35"/>
        <v>46173727800</v>
      </c>
      <c r="K260" s="31"/>
      <c r="L260" s="31">
        <v>117900</v>
      </c>
      <c r="M260" s="31"/>
      <c r="N260" s="31">
        <f t="shared" si="42"/>
        <v>117900</v>
      </c>
      <c r="O260" s="31">
        <v>366218600</v>
      </c>
      <c r="P260" s="31"/>
      <c r="Q260" s="31">
        <f t="shared" si="44"/>
        <v>366218600</v>
      </c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>
        <f t="shared" si="43"/>
        <v>8164363</v>
      </c>
      <c r="AK260" s="33">
        <f>300000+20*0.3</f>
        <v>300006</v>
      </c>
      <c r="AL260" s="34">
        <v>44056</v>
      </c>
      <c r="AM260" s="34">
        <v>5</v>
      </c>
      <c r="AN260" s="34">
        <f>1446*2550</f>
        <v>3687300</v>
      </c>
      <c r="AO260" s="34">
        <f t="shared" si="41"/>
        <v>13500</v>
      </c>
      <c r="AP260" s="33"/>
      <c r="AQ260" s="55">
        <v>11395920448626</v>
      </c>
      <c r="AR260" s="55">
        <v>99666884000</v>
      </c>
      <c r="AS260" s="55">
        <v>83771125900</v>
      </c>
      <c r="AT260" s="55">
        <v>120967911100</v>
      </c>
      <c r="AU260" s="55">
        <v>22208301</v>
      </c>
      <c r="AV260" s="99">
        <v>1187515795</v>
      </c>
    </row>
    <row r="261" spans="1:48" ht="15" customHeight="1">
      <c r="A261" s="28">
        <v>44057</v>
      </c>
      <c r="B261" s="29">
        <v>27877036000</v>
      </c>
      <c r="C261" s="29">
        <v>0</v>
      </c>
      <c r="D261" s="29"/>
      <c r="E261" s="29"/>
      <c r="F261" s="29">
        <f t="shared" si="38"/>
        <v>27877036000</v>
      </c>
      <c r="G261" s="29">
        <f t="shared" si="39"/>
        <v>7526800</v>
      </c>
      <c r="H261" s="31">
        <v>3250595400</v>
      </c>
      <c r="I261" s="31">
        <v>32024000000</v>
      </c>
      <c r="J261" s="31">
        <f t="shared" si="35"/>
        <v>35274595400</v>
      </c>
      <c r="K261" s="31"/>
      <c r="L261" s="31">
        <v>880081200</v>
      </c>
      <c r="M261" s="31"/>
      <c r="N261" s="31">
        <f t="shared" si="42"/>
        <v>880081200</v>
      </c>
      <c r="O261" s="31">
        <v>6540100</v>
      </c>
      <c r="P261" s="31"/>
      <c r="Q261" s="31">
        <f t="shared" si="44"/>
        <v>6540100</v>
      </c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>
        <f t="shared" ref="AJ261:AJ293" si="45">ROUND(H261*0.0108%+I261*0.018%+K261*0.018%+N261*0.018%+Q261*0.018%+R261*0.018%+U261*0.018%,0)</f>
        <v>6274976</v>
      </c>
      <c r="AK261" s="33">
        <f>300000+(30610*0.3)</f>
        <v>309183</v>
      </c>
      <c r="AL261" s="34">
        <v>44057</v>
      </c>
      <c r="AM261" s="34">
        <v>65</v>
      </c>
      <c r="AN261" s="34">
        <f>1455*2550*3</f>
        <v>11130750</v>
      </c>
      <c r="AO261" s="34">
        <f t="shared" si="41"/>
        <v>175500</v>
      </c>
      <c r="AP261" s="33"/>
      <c r="AQ261" s="55">
        <v>17544591823218</v>
      </c>
      <c r="AR261" s="55">
        <v>80556132400</v>
      </c>
      <c r="AS261" s="55">
        <v>68185216700</v>
      </c>
      <c r="AT261" s="55">
        <v>96062252700</v>
      </c>
      <c r="AU261" s="55">
        <v>25417209</v>
      </c>
      <c r="AV261" s="99">
        <v>1212933004</v>
      </c>
    </row>
    <row r="262" spans="1:48" ht="15" customHeight="1">
      <c r="A262" s="28">
        <v>44060</v>
      </c>
      <c r="B262" s="29">
        <v>4162149600</v>
      </c>
      <c r="C262" s="29">
        <v>12454972000</v>
      </c>
      <c r="D262" s="29"/>
      <c r="E262" s="29"/>
      <c r="F262" s="29">
        <f t="shared" si="38"/>
        <v>16617121600</v>
      </c>
      <c r="G262" s="29">
        <f t="shared" si="39"/>
        <v>4486623</v>
      </c>
      <c r="H262" s="31">
        <v>152995700</v>
      </c>
      <c r="I262" s="31">
        <v>0</v>
      </c>
      <c r="J262" s="31">
        <f t="shared" si="35"/>
        <v>152995700</v>
      </c>
      <c r="K262" s="31"/>
      <c r="L262" s="31">
        <v>7293100</v>
      </c>
      <c r="M262" s="31"/>
      <c r="N262" s="31">
        <f t="shared" si="42"/>
        <v>7293100</v>
      </c>
      <c r="O262" s="31">
        <v>184524000</v>
      </c>
      <c r="P262" s="31"/>
      <c r="Q262" s="31">
        <f t="shared" si="44"/>
        <v>184524000</v>
      </c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>
        <f t="shared" si="45"/>
        <v>51051</v>
      </c>
      <c r="AK262" s="33">
        <f>137830*0.3</f>
        <v>41349</v>
      </c>
      <c r="AL262" s="34">
        <v>44060</v>
      </c>
      <c r="AM262" s="34">
        <v>61</v>
      </c>
      <c r="AN262" s="34">
        <f>1442*2550</f>
        <v>3677100</v>
      </c>
      <c r="AO262" s="34">
        <f t="shared" si="41"/>
        <v>164700</v>
      </c>
      <c r="AP262" s="33">
        <v>800000</v>
      </c>
      <c r="AQ262" s="55">
        <v>9614998139816</v>
      </c>
      <c r="AR262" s="55">
        <v>4025490200</v>
      </c>
      <c r="AS262" s="55">
        <v>344812800</v>
      </c>
      <c r="AT262" s="55">
        <v>16961934400</v>
      </c>
      <c r="AU262" s="55">
        <v>9220823</v>
      </c>
      <c r="AV262" s="99">
        <v>1222153827</v>
      </c>
    </row>
    <row r="263" spans="1:48" ht="15" customHeight="1">
      <c r="A263" s="28">
        <v>44061</v>
      </c>
      <c r="B263" s="29">
        <v>11290247100</v>
      </c>
      <c r="C263" s="29">
        <v>0</v>
      </c>
      <c r="D263" s="29"/>
      <c r="E263" s="29"/>
      <c r="F263" s="29">
        <f t="shared" si="38"/>
        <v>11290247100</v>
      </c>
      <c r="G263" s="29">
        <f t="shared" si="39"/>
        <v>3048367</v>
      </c>
      <c r="H263" s="31">
        <v>168788800</v>
      </c>
      <c r="I263" s="31">
        <v>3966100000</v>
      </c>
      <c r="J263" s="31">
        <f t="shared" si="35"/>
        <v>4134888800</v>
      </c>
      <c r="K263" s="31"/>
      <c r="L263" s="31">
        <v>127176300</v>
      </c>
      <c r="M263" s="31"/>
      <c r="N263" s="31">
        <f t="shared" si="42"/>
        <v>127176300</v>
      </c>
      <c r="O263" s="31">
        <v>185257200</v>
      </c>
      <c r="P263" s="31"/>
      <c r="Q263" s="31">
        <f t="shared" si="44"/>
        <v>185257200</v>
      </c>
      <c r="R263" s="31"/>
      <c r="S263" s="31"/>
      <c r="T263" s="31"/>
      <c r="U263" s="31">
        <v>972952500</v>
      </c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>
        <f t="shared" si="45"/>
        <v>963497</v>
      </c>
      <c r="AK263" s="33">
        <f>316260*0.3</f>
        <v>94878</v>
      </c>
      <c r="AL263" s="34">
        <v>44061</v>
      </c>
      <c r="AM263" s="34">
        <v>56</v>
      </c>
      <c r="AN263" s="34">
        <f>1386*2550</f>
        <v>3534300</v>
      </c>
      <c r="AO263" s="34">
        <f t="shared" si="41"/>
        <v>151200</v>
      </c>
      <c r="AP263" s="33"/>
      <c r="AQ263" s="55">
        <v>10802373068884</v>
      </c>
      <c r="AR263" s="55">
        <v>20257625800</v>
      </c>
      <c r="AS263" s="55">
        <v>5420274800</v>
      </c>
      <c r="AT263" s="55">
        <v>16710521900</v>
      </c>
      <c r="AU263" s="55">
        <v>7792242</v>
      </c>
      <c r="AV263" s="99">
        <v>1229946069</v>
      </c>
    </row>
    <row r="264" spans="1:48" ht="15" customHeight="1">
      <c r="A264" s="28">
        <v>44062</v>
      </c>
      <c r="B264" s="29">
        <v>7884202800</v>
      </c>
      <c r="C264" s="29">
        <v>9199430000</v>
      </c>
      <c r="D264" s="29"/>
      <c r="E264" s="29"/>
      <c r="F264" s="29">
        <f t="shared" si="38"/>
        <v>17083632800</v>
      </c>
      <c r="G264" s="29">
        <f t="shared" si="39"/>
        <v>4612581</v>
      </c>
      <c r="H264" s="31">
        <v>133000</v>
      </c>
      <c r="I264" s="31"/>
      <c r="J264" s="31">
        <f t="shared" si="35"/>
        <v>133000</v>
      </c>
      <c r="K264" s="31"/>
      <c r="L264" s="31">
        <v>12019000</v>
      </c>
      <c r="M264" s="31"/>
      <c r="N264" s="31">
        <f t="shared" si="42"/>
        <v>12019000</v>
      </c>
      <c r="O264" s="31">
        <v>183861500</v>
      </c>
      <c r="P264" s="31"/>
      <c r="Q264" s="31">
        <f t="shared" si="44"/>
        <v>183861500</v>
      </c>
      <c r="R264" s="31">
        <v>103200</v>
      </c>
      <c r="S264" s="31"/>
      <c r="T264" s="31"/>
      <c r="U264" s="31">
        <v>98200</v>
      </c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>
        <f t="shared" si="45"/>
        <v>35309</v>
      </c>
      <c r="AK264" s="33">
        <f>215310*0.3</f>
        <v>64593</v>
      </c>
      <c r="AL264" s="34">
        <v>44062</v>
      </c>
      <c r="AM264" s="34">
        <v>108</v>
      </c>
      <c r="AN264" s="34">
        <f>1466*2550</f>
        <v>3738300</v>
      </c>
      <c r="AO264" s="34">
        <f t="shared" si="41"/>
        <v>291600</v>
      </c>
      <c r="AP264" s="33">
        <v>800000</v>
      </c>
      <c r="AQ264" s="55">
        <v>10666320187600</v>
      </c>
      <c r="AR264" s="55">
        <v>8642182200</v>
      </c>
      <c r="AS264" s="55">
        <v>196214900</v>
      </c>
      <c r="AT264" s="55">
        <v>17279847700</v>
      </c>
      <c r="AU264" s="55">
        <v>9542383</v>
      </c>
      <c r="AV264" s="99">
        <v>1239488452</v>
      </c>
    </row>
    <row r="265" spans="1:48" ht="15" customHeight="1">
      <c r="A265" s="28">
        <v>44063</v>
      </c>
      <c r="B265" s="29">
        <v>19160627100</v>
      </c>
      <c r="C265" s="29">
        <v>2769832500</v>
      </c>
      <c r="D265" s="29"/>
      <c r="E265" s="29"/>
      <c r="F265" s="29">
        <f t="shared" si="38"/>
        <v>21930459600</v>
      </c>
      <c r="G265" s="29">
        <f t="shared" si="39"/>
        <v>5921224</v>
      </c>
      <c r="H265" s="31">
        <v>4632082600</v>
      </c>
      <c r="I265" s="31">
        <v>1971750000</v>
      </c>
      <c r="J265" s="31">
        <f t="shared" ref="J265:J303" si="46">H265+I265</f>
        <v>6603832600</v>
      </c>
      <c r="K265" s="31"/>
      <c r="L265" s="31">
        <v>1705530500</v>
      </c>
      <c r="M265" s="31"/>
      <c r="N265" s="31">
        <f t="shared" si="42"/>
        <v>1705530500</v>
      </c>
      <c r="O265" s="31">
        <v>554433000</v>
      </c>
      <c r="P265" s="31"/>
      <c r="Q265" s="31">
        <f t="shared" si="44"/>
        <v>554433000</v>
      </c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>
        <f t="shared" si="45"/>
        <v>1261973</v>
      </c>
      <c r="AK265" s="33">
        <f>1075020*0.3</f>
        <v>322506</v>
      </c>
      <c r="AL265" s="34">
        <v>44063</v>
      </c>
      <c r="AM265" s="34">
        <v>484</v>
      </c>
      <c r="AN265" s="34">
        <f>1016*2550</f>
        <v>2590800</v>
      </c>
      <c r="AO265" s="34">
        <f t="shared" si="41"/>
        <v>1306800</v>
      </c>
      <c r="AP265" s="33">
        <v>900000</v>
      </c>
      <c r="AQ265" s="55">
        <v>15487452159400</v>
      </c>
      <c r="AR265" s="55">
        <v>33572112800</v>
      </c>
      <c r="AS265" s="55">
        <v>8863796100</v>
      </c>
      <c r="AT265" s="55">
        <v>30794255700</v>
      </c>
      <c r="AU265" s="55">
        <v>12303303</v>
      </c>
      <c r="AV265" s="99">
        <v>1251791755</v>
      </c>
    </row>
    <row r="266" spans="1:48" ht="15" customHeight="1">
      <c r="A266" s="28">
        <v>44064</v>
      </c>
      <c r="B266" s="29">
        <v>3553596000</v>
      </c>
      <c r="C266" s="29">
        <v>0</v>
      </c>
      <c r="D266" s="29"/>
      <c r="E266" s="29"/>
      <c r="F266" s="29">
        <f t="shared" si="38"/>
        <v>3553596000</v>
      </c>
      <c r="G266" s="29">
        <f t="shared" si="39"/>
        <v>959471</v>
      </c>
      <c r="H266" s="31">
        <v>446191700</v>
      </c>
      <c r="I266" s="31"/>
      <c r="J266" s="31">
        <f t="shared" si="46"/>
        <v>446191700</v>
      </c>
      <c r="K266" s="31"/>
      <c r="L266" s="31">
        <v>4380955600</v>
      </c>
      <c r="M266" s="31"/>
      <c r="N266" s="31">
        <f t="shared" si="42"/>
        <v>4380955600</v>
      </c>
      <c r="O266" s="31">
        <v>1256935500</v>
      </c>
      <c r="P266" s="31"/>
      <c r="Q266" s="31">
        <f t="shared" si="44"/>
        <v>1256935500</v>
      </c>
      <c r="R266" s="31"/>
      <c r="S266" s="31"/>
      <c r="T266" s="31"/>
      <c r="U266" s="31">
        <v>493000</v>
      </c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>
        <f t="shared" si="45"/>
        <v>1063098</v>
      </c>
      <c r="AK266" s="33">
        <f>572430*0.3</f>
        <v>171729</v>
      </c>
      <c r="AL266" s="34">
        <v>44064</v>
      </c>
      <c r="AM266" s="34">
        <v>67</v>
      </c>
      <c r="AN266" s="34">
        <f>942*2550*3</f>
        <v>7206300</v>
      </c>
      <c r="AO266" s="34">
        <f t="shared" si="41"/>
        <v>180900</v>
      </c>
      <c r="AP266" s="33"/>
      <c r="AQ266" s="55">
        <v>12334999805300</v>
      </c>
      <c r="AR266" s="55">
        <v>46181251200</v>
      </c>
      <c r="AS266" s="55">
        <v>6084575800</v>
      </c>
      <c r="AT266" s="55">
        <v>9637678800</v>
      </c>
      <c r="AU266" s="55">
        <v>9581498</v>
      </c>
      <c r="AV266" s="99">
        <v>1261373253</v>
      </c>
    </row>
    <row r="267" spans="1:48" ht="15" customHeight="1">
      <c r="A267" s="28">
        <v>44067</v>
      </c>
      <c r="B267" s="29">
        <v>45985647100</v>
      </c>
      <c r="C267" s="29">
        <v>0</v>
      </c>
      <c r="D267" s="29"/>
      <c r="E267" s="29"/>
      <c r="F267" s="29">
        <f t="shared" si="38"/>
        <v>45985647100</v>
      </c>
      <c r="G267" s="29">
        <f t="shared" si="39"/>
        <v>12416125</v>
      </c>
      <c r="H267" s="31">
        <v>13621943000</v>
      </c>
      <c r="I267" s="31">
        <v>55433500000</v>
      </c>
      <c r="J267" s="31">
        <f t="shared" si="46"/>
        <v>69055443000</v>
      </c>
      <c r="K267" s="31"/>
      <c r="L267" s="31">
        <v>645775900</v>
      </c>
      <c r="M267" s="31"/>
      <c r="N267" s="31">
        <f t="shared" si="42"/>
        <v>645775900</v>
      </c>
      <c r="O267" s="31">
        <v>945853000</v>
      </c>
      <c r="P267" s="31"/>
      <c r="Q267" s="31">
        <f t="shared" si="44"/>
        <v>945853000</v>
      </c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>
        <f t="shared" si="45"/>
        <v>11735693</v>
      </c>
      <c r="AK267" s="33">
        <f>300000+7390*0.3</f>
        <v>302217</v>
      </c>
      <c r="AL267" s="34">
        <v>44067</v>
      </c>
      <c r="AM267" s="34">
        <v>304</v>
      </c>
      <c r="AN267" s="34">
        <f>1244*2550</f>
        <v>3172200</v>
      </c>
      <c r="AO267" s="34">
        <f t="shared" si="41"/>
        <v>820800</v>
      </c>
      <c r="AP267" s="33"/>
      <c r="AQ267" s="55">
        <v>15904520767188</v>
      </c>
      <c r="AR267" s="55">
        <v>169784709800</v>
      </c>
      <c r="AS267" s="55">
        <v>125197321900</v>
      </c>
      <c r="AT267" s="55">
        <v>171182969000</v>
      </c>
      <c r="AU267" s="55">
        <v>28447035</v>
      </c>
      <c r="AV267" s="99">
        <v>1289820288</v>
      </c>
    </row>
    <row r="268" spans="1:48" ht="15" customHeight="1">
      <c r="A268" s="28">
        <v>44068</v>
      </c>
      <c r="B268" s="29">
        <v>19316418400</v>
      </c>
      <c r="C268" s="29">
        <v>0</v>
      </c>
      <c r="D268" s="29"/>
      <c r="E268" s="29"/>
      <c r="F268" s="29">
        <f t="shared" si="38"/>
        <v>19316418400</v>
      </c>
      <c r="G268" s="29">
        <f t="shared" si="39"/>
        <v>5215433</v>
      </c>
      <c r="H268" s="31">
        <v>21909353000</v>
      </c>
      <c r="I268" s="31">
        <v>28780500000</v>
      </c>
      <c r="J268" s="31">
        <f t="shared" si="46"/>
        <v>50689853000</v>
      </c>
      <c r="K268" s="31"/>
      <c r="L268" s="31">
        <v>2180330700</v>
      </c>
      <c r="M268" s="31"/>
      <c r="N268" s="31">
        <f t="shared" si="42"/>
        <v>2180330700</v>
      </c>
      <c r="O268" s="31">
        <v>966193600</v>
      </c>
      <c r="P268" s="31"/>
      <c r="Q268" s="31">
        <f t="shared" si="44"/>
        <v>966193600</v>
      </c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>
        <f t="shared" si="45"/>
        <v>8113074</v>
      </c>
      <c r="AK268" s="33">
        <f>300000+200000*0.3</f>
        <v>360000</v>
      </c>
      <c r="AL268" s="34">
        <v>44068</v>
      </c>
      <c r="AM268" s="34">
        <v>199</v>
      </c>
      <c r="AN268" s="34">
        <f>1389*2550</f>
        <v>3541950</v>
      </c>
      <c r="AO268" s="34">
        <f t="shared" si="41"/>
        <v>537300</v>
      </c>
      <c r="AP268" s="33"/>
      <c r="AQ268" s="55">
        <v>17349849172056</v>
      </c>
      <c r="AR268" s="55">
        <v>193642190600</v>
      </c>
      <c r="AS268" s="55">
        <v>81517928100</v>
      </c>
      <c r="AT268" s="55">
        <v>100834346500</v>
      </c>
      <c r="AU268" s="55">
        <v>17767757</v>
      </c>
      <c r="AV268" s="99">
        <v>1307588045</v>
      </c>
    </row>
    <row r="269" spans="1:48" ht="15" customHeight="1">
      <c r="A269" s="28">
        <v>44069</v>
      </c>
      <c r="B269" s="29">
        <v>2285000</v>
      </c>
      <c r="C269" s="29">
        <v>12359347500</v>
      </c>
      <c r="D269" s="29"/>
      <c r="E269" s="29"/>
      <c r="F269" s="29">
        <f t="shared" si="38"/>
        <v>12361632500</v>
      </c>
      <c r="G269" s="29">
        <f t="shared" si="39"/>
        <v>3337641</v>
      </c>
      <c r="H269" s="31">
        <v>456646800</v>
      </c>
      <c r="I269" s="31"/>
      <c r="J269" s="31">
        <f t="shared" si="46"/>
        <v>456646800</v>
      </c>
      <c r="K269" s="31"/>
      <c r="L269" s="31">
        <v>2592065500</v>
      </c>
      <c r="M269" s="31"/>
      <c r="N269" s="31">
        <f t="shared" si="42"/>
        <v>2592065500</v>
      </c>
      <c r="O269" s="31">
        <v>194480000</v>
      </c>
      <c r="P269" s="31"/>
      <c r="Q269" s="31">
        <f t="shared" si="44"/>
        <v>194480000</v>
      </c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>
        <f t="shared" si="45"/>
        <v>550896</v>
      </c>
      <c r="AK269" s="33">
        <f>240230*0.3</f>
        <v>72069</v>
      </c>
      <c r="AL269" s="34">
        <v>44069</v>
      </c>
      <c r="AM269" s="34">
        <v>19</v>
      </c>
      <c r="AN269" s="34">
        <f>1374*2550</f>
        <v>3503700</v>
      </c>
      <c r="AO269" s="34">
        <f t="shared" si="41"/>
        <v>51300</v>
      </c>
      <c r="AP269" s="33">
        <v>800000</v>
      </c>
      <c r="AQ269" s="55">
        <v>15074917174704</v>
      </c>
      <c r="AR269" s="55">
        <v>45858017200</v>
      </c>
      <c r="AS269" s="55">
        <v>3252221100</v>
      </c>
      <c r="AT269" s="55">
        <v>15613853600</v>
      </c>
      <c r="AU269" s="55">
        <v>8315606</v>
      </c>
      <c r="AV269" s="99">
        <v>1315903651</v>
      </c>
    </row>
    <row r="270" spans="1:48" ht="15" customHeight="1">
      <c r="A270" s="28">
        <v>44070</v>
      </c>
      <c r="B270" s="29">
        <v>0</v>
      </c>
      <c r="C270" s="29">
        <v>8820154500</v>
      </c>
      <c r="D270" s="29"/>
      <c r="E270" s="29"/>
      <c r="F270" s="29">
        <f t="shared" si="38"/>
        <v>8820154500</v>
      </c>
      <c r="G270" s="29">
        <f t="shared" si="39"/>
        <v>2381442</v>
      </c>
      <c r="H270" s="31">
        <v>1092399900</v>
      </c>
      <c r="I270" s="31"/>
      <c r="J270" s="31">
        <f t="shared" si="46"/>
        <v>1092399900</v>
      </c>
      <c r="K270" s="31"/>
      <c r="L270" s="31">
        <v>1225734200</v>
      </c>
      <c r="M270" s="31"/>
      <c r="N270" s="31">
        <f t="shared" si="42"/>
        <v>1225734200</v>
      </c>
      <c r="O270" s="31">
        <v>45696000</v>
      </c>
      <c r="P270" s="31"/>
      <c r="Q270" s="31">
        <f t="shared" si="44"/>
        <v>45696000</v>
      </c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>
        <f t="shared" si="45"/>
        <v>346837</v>
      </c>
      <c r="AK270" s="33">
        <f>130970*0.3</f>
        <v>39291</v>
      </c>
      <c r="AL270" s="34">
        <v>44070</v>
      </c>
      <c r="AM270" s="34">
        <v>65</v>
      </c>
      <c r="AN270" s="34">
        <f>1427*2550</f>
        <v>3638850</v>
      </c>
      <c r="AO270" s="34">
        <f t="shared" si="41"/>
        <v>175500</v>
      </c>
      <c r="AP270" s="33">
        <v>800000</v>
      </c>
      <c r="AQ270" s="55">
        <v>15274129656630</v>
      </c>
      <c r="AR270" s="55">
        <v>250888453800</v>
      </c>
      <c r="AS270" s="55">
        <v>2559528500</v>
      </c>
      <c r="AT270" s="55">
        <v>11379683000</v>
      </c>
      <c r="AU270" s="55">
        <v>7381920</v>
      </c>
      <c r="AV270" s="99">
        <v>1323285571</v>
      </c>
    </row>
    <row r="271" spans="1:48" ht="15" customHeight="1">
      <c r="A271" s="28">
        <v>44071</v>
      </c>
      <c r="B271" s="29">
        <v>13576147000</v>
      </c>
      <c r="C271" s="29">
        <v>0</v>
      </c>
      <c r="D271" s="29"/>
      <c r="E271" s="29"/>
      <c r="F271" s="29">
        <f t="shared" si="38"/>
        <v>13576147000</v>
      </c>
      <c r="G271" s="29">
        <f t="shared" si="39"/>
        <v>3665560</v>
      </c>
      <c r="H271" s="31">
        <v>18297014100</v>
      </c>
      <c r="I271" s="31">
        <v>28987500000</v>
      </c>
      <c r="J271" s="31">
        <f t="shared" si="46"/>
        <v>47284514100</v>
      </c>
      <c r="K271" s="31"/>
      <c r="L271" s="31">
        <v>2790576100</v>
      </c>
      <c r="M271" s="31">
        <v>2560000000</v>
      </c>
      <c r="N271" s="31">
        <f t="shared" si="42"/>
        <v>5350576100</v>
      </c>
      <c r="O271" s="31">
        <v>971097500</v>
      </c>
      <c r="P271" s="31"/>
      <c r="Q271" s="31">
        <f t="shared" si="44"/>
        <v>971097500</v>
      </c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>
        <f t="shared" si="45"/>
        <v>8331729</v>
      </c>
      <c r="AK271" s="33">
        <f>300000+(100000+20000)*0.3</f>
        <v>336000</v>
      </c>
      <c r="AL271" s="34">
        <v>44071</v>
      </c>
      <c r="AM271" s="34">
        <v>159</v>
      </c>
      <c r="AN271" s="34">
        <f>1522*2550*3</f>
        <v>11643300</v>
      </c>
      <c r="AO271" s="34">
        <f t="shared" si="41"/>
        <v>429300</v>
      </c>
      <c r="AP271" s="33"/>
      <c r="AQ271" s="55">
        <v>18777629825000</v>
      </c>
      <c r="AR271" s="55">
        <v>136088330400</v>
      </c>
      <c r="AS271" s="55">
        <v>81212187700</v>
      </c>
      <c r="AT271" s="55">
        <v>94788334700</v>
      </c>
      <c r="AU271" s="55">
        <v>24405889</v>
      </c>
      <c r="AV271" s="99">
        <v>1347691460</v>
      </c>
    </row>
    <row r="272" spans="1:48" ht="15" customHeight="1">
      <c r="A272" s="50">
        <v>44074</v>
      </c>
      <c r="B272" s="51">
        <v>955391400</v>
      </c>
      <c r="C272" s="51">
        <v>0</v>
      </c>
      <c r="D272" s="51"/>
      <c r="E272" s="51"/>
      <c r="F272" s="51">
        <f t="shared" si="38"/>
        <v>955391400</v>
      </c>
      <c r="G272" s="51">
        <f t="shared" si="39"/>
        <v>257956</v>
      </c>
      <c r="H272" s="52">
        <v>4143943500</v>
      </c>
      <c r="I272" s="52"/>
      <c r="J272" s="52">
        <f t="shared" si="46"/>
        <v>4143943500</v>
      </c>
      <c r="K272" s="52"/>
      <c r="L272" s="52">
        <v>1409600000</v>
      </c>
      <c r="M272" s="52"/>
      <c r="N272" s="52">
        <f t="shared" si="42"/>
        <v>1409600000</v>
      </c>
      <c r="O272" s="52">
        <v>6908500</v>
      </c>
      <c r="P272" s="52"/>
      <c r="Q272" s="52">
        <f t="shared" si="44"/>
        <v>6908500</v>
      </c>
      <c r="R272" s="52">
        <v>108500</v>
      </c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>
        <f t="shared" si="45"/>
        <v>702537</v>
      </c>
      <c r="AK272" s="53">
        <f>343320*0.3</f>
        <v>102996</v>
      </c>
      <c r="AL272" s="54">
        <v>44074</v>
      </c>
      <c r="AM272" s="54">
        <v>81</v>
      </c>
      <c r="AN272" s="54">
        <f>1469*2550</f>
        <v>3745950</v>
      </c>
      <c r="AO272" s="54">
        <f t="shared" si="41"/>
        <v>218700</v>
      </c>
      <c r="AP272" s="53">
        <v>1600000</v>
      </c>
      <c r="AQ272" s="55">
        <v>15521691158612</v>
      </c>
      <c r="AR272" s="55">
        <v>18695246200</v>
      </c>
      <c r="AS272" s="55">
        <v>5565662800</v>
      </c>
      <c r="AT272" s="55">
        <v>6521054200</v>
      </c>
      <c r="AU272" s="55">
        <v>6628139</v>
      </c>
      <c r="AV272" s="99">
        <v>1354319599</v>
      </c>
    </row>
    <row r="273" spans="1:48" ht="15" customHeight="1">
      <c r="A273" s="28">
        <v>44075</v>
      </c>
      <c r="B273" s="56">
        <v>9539035900</v>
      </c>
      <c r="C273" s="56">
        <v>2899682500</v>
      </c>
      <c r="D273" s="56"/>
      <c r="E273" s="56"/>
      <c r="F273" s="56">
        <f t="shared" si="38"/>
        <v>12438718400</v>
      </c>
      <c r="G273" s="56">
        <f t="shared" si="39"/>
        <v>3358454</v>
      </c>
      <c r="H273" s="57">
        <v>3636395700</v>
      </c>
      <c r="I273" s="57"/>
      <c r="J273" s="57">
        <f t="shared" si="46"/>
        <v>3636395700</v>
      </c>
      <c r="K273" s="57"/>
      <c r="L273" s="57">
        <v>1919745400</v>
      </c>
      <c r="M273" s="57"/>
      <c r="N273" s="58">
        <f t="shared" si="42"/>
        <v>1919745400</v>
      </c>
      <c r="O273" s="57">
        <v>972724700</v>
      </c>
      <c r="P273" s="57"/>
      <c r="Q273" s="58">
        <f t="shared" si="44"/>
        <v>972724700</v>
      </c>
      <c r="R273" s="57">
        <v>107500</v>
      </c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  <c r="AG273" s="57"/>
      <c r="AH273" s="57"/>
      <c r="AI273" s="57"/>
      <c r="AJ273" s="31">
        <f t="shared" si="45"/>
        <v>913395</v>
      </c>
      <c r="AK273" s="59">
        <f>343480*0.3</f>
        <v>103044</v>
      </c>
      <c r="AL273" s="34">
        <v>44075</v>
      </c>
      <c r="AM273" s="34">
        <v>185</v>
      </c>
      <c r="AN273" s="34">
        <f>1482*2550*2</f>
        <v>7558200</v>
      </c>
      <c r="AO273" s="60">
        <f t="shared" si="41"/>
        <v>499500</v>
      </c>
      <c r="AP273" s="33">
        <f>600000+700000</f>
        <v>1300000</v>
      </c>
      <c r="AQ273" s="55">
        <v>14035564221532</v>
      </c>
      <c r="AR273" s="55">
        <v>28281763800</v>
      </c>
      <c r="AS273" s="55">
        <v>6528973300</v>
      </c>
      <c r="AT273" s="55">
        <v>18967691700</v>
      </c>
      <c r="AU273" s="55">
        <v>13732593</v>
      </c>
      <c r="AV273" s="99">
        <v>1368052192</v>
      </c>
    </row>
    <row r="274" spans="1:48" ht="15" customHeight="1" thickBot="1">
      <c r="A274" s="28">
        <v>44077</v>
      </c>
      <c r="B274" s="56">
        <v>29268104200</v>
      </c>
      <c r="C274" s="56">
        <v>0</v>
      </c>
      <c r="D274" s="56"/>
      <c r="E274" s="56"/>
      <c r="F274" s="56">
        <f t="shared" si="38"/>
        <v>29268104200</v>
      </c>
      <c r="G274" s="56">
        <f t="shared" si="39"/>
        <v>7902388</v>
      </c>
      <c r="H274" s="57">
        <v>7967169100</v>
      </c>
      <c r="I274" s="57">
        <v>45081500000</v>
      </c>
      <c r="J274" s="57">
        <f t="shared" si="46"/>
        <v>53048669100</v>
      </c>
      <c r="K274" s="57"/>
      <c r="L274" s="57">
        <v>3616131100</v>
      </c>
      <c r="M274" s="57">
        <v>10393000000</v>
      </c>
      <c r="N274" s="58">
        <f t="shared" si="42"/>
        <v>14009131100</v>
      </c>
      <c r="O274" s="57">
        <v>514504600</v>
      </c>
      <c r="P274" s="57"/>
      <c r="Q274" s="58">
        <f t="shared" si="44"/>
        <v>514504600</v>
      </c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  <c r="AD274" s="57"/>
      <c r="AE274" s="57"/>
      <c r="AF274" s="57"/>
      <c r="AG274" s="57"/>
      <c r="AH274" s="57"/>
      <c r="AI274" s="57"/>
      <c r="AJ274" s="31">
        <f t="shared" si="45"/>
        <v>11589379</v>
      </c>
      <c r="AK274" s="59">
        <f>0.3*220410+300000</f>
        <v>366123</v>
      </c>
      <c r="AL274" s="34">
        <v>44077</v>
      </c>
      <c r="AM274" s="34">
        <v>652</v>
      </c>
      <c r="AN274" s="34">
        <f>1902*2550</f>
        <v>4850100</v>
      </c>
      <c r="AO274" s="60">
        <f t="shared" si="41"/>
        <v>1760400</v>
      </c>
      <c r="AP274" s="59">
        <f>715435+13315515</f>
        <v>14030950</v>
      </c>
      <c r="AQ274" s="55">
        <v>17257293429910</v>
      </c>
      <c r="AR274" s="55">
        <v>189062701800</v>
      </c>
      <c r="AS274" s="55">
        <v>90921718800</v>
      </c>
      <c r="AT274" s="55">
        <v>120189823000</v>
      </c>
      <c r="AU274" s="55">
        <v>40499340</v>
      </c>
      <c r="AV274" s="99">
        <v>1408551532</v>
      </c>
    </row>
    <row r="275" spans="1:48" ht="15" customHeight="1">
      <c r="A275" s="35">
        <v>44078</v>
      </c>
      <c r="B275" s="61">
        <v>0</v>
      </c>
      <c r="C275" s="61">
        <v>0</v>
      </c>
      <c r="D275" s="61"/>
      <c r="E275" s="61"/>
      <c r="F275" s="61">
        <f>B275+C275+D275+E275</f>
        <v>0</v>
      </c>
      <c r="G275" s="61">
        <f>ROUND(F275*0.027%,0)</f>
        <v>0</v>
      </c>
      <c r="H275" s="62">
        <v>152424800</v>
      </c>
      <c r="I275" s="62"/>
      <c r="J275" s="62">
        <f t="shared" si="46"/>
        <v>152424800</v>
      </c>
      <c r="K275" s="62"/>
      <c r="L275" s="62">
        <v>1370795000</v>
      </c>
      <c r="M275" s="62"/>
      <c r="N275" s="62">
        <f t="shared" si="42"/>
        <v>1370795000</v>
      </c>
      <c r="O275" s="62">
        <v>494000000</v>
      </c>
      <c r="P275" s="62"/>
      <c r="Q275" s="62">
        <f t="shared" si="44"/>
        <v>494000000</v>
      </c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  <c r="AI275" s="62"/>
      <c r="AJ275" s="37">
        <f t="shared" si="45"/>
        <v>352125</v>
      </c>
      <c r="AK275" s="63">
        <f>50000*0.3</f>
        <v>15000</v>
      </c>
      <c r="AL275" s="39">
        <v>44078</v>
      </c>
      <c r="AM275" s="39">
        <v>24</v>
      </c>
      <c r="AN275" s="39">
        <f>1914*2550*3</f>
        <v>14642100</v>
      </c>
      <c r="AO275" s="64">
        <f t="shared" si="41"/>
        <v>64800</v>
      </c>
      <c r="AP275" s="38"/>
      <c r="AQ275" s="55">
        <v>15371711410860</v>
      </c>
      <c r="AR275" s="55">
        <v>15527158200</v>
      </c>
      <c r="AS275" s="55">
        <v>2017219800</v>
      </c>
      <c r="AT275" s="55">
        <v>2017219800</v>
      </c>
      <c r="AU275" s="55">
        <v>15074025</v>
      </c>
      <c r="AV275" s="99">
        <v>1423625557</v>
      </c>
    </row>
    <row r="276" spans="1:48" ht="15" customHeight="1">
      <c r="A276" s="28">
        <v>44081</v>
      </c>
      <c r="B276" s="56">
        <v>10195886200</v>
      </c>
      <c r="C276" s="56">
        <v>3554204000</v>
      </c>
      <c r="D276" s="56"/>
      <c r="E276" s="56"/>
      <c r="F276" s="56">
        <f t="shared" ref="F276:F281" si="47">B276+C276+D276+E276</f>
        <v>13750090200</v>
      </c>
      <c r="G276" s="56">
        <f t="shared" ref="G276:G335" si="48">ROUND(F276*0.027%,0)</f>
        <v>3712524</v>
      </c>
      <c r="H276" s="57">
        <v>4875860000</v>
      </c>
      <c r="I276" s="57"/>
      <c r="J276" s="57">
        <f t="shared" si="46"/>
        <v>4875860000</v>
      </c>
      <c r="K276" s="57"/>
      <c r="L276" s="57">
        <v>129900</v>
      </c>
      <c r="M276" s="57"/>
      <c r="N276" s="58">
        <f t="shared" si="42"/>
        <v>129900</v>
      </c>
      <c r="O276" s="57"/>
      <c r="P276" s="57"/>
      <c r="Q276" s="58">
        <f t="shared" si="44"/>
        <v>0</v>
      </c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  <c r="AD276" s="57"/>
      <c r="AE276" s="57"/>
      <c r="AF276" s="57"/>
      <c r="AG276" s="57"/>
      <c r="AH276" s="57"/>
      <c r="AI276" s="57"/>
      <c r="AJ276" s="31">
        <f t="shared" si="45"/>
        <v>526616</v>
      </c>
      <c r="AK276" s="59">
        <f>490620*0.3</f>
        <v>147186</v>
      </c>
      <c r="AL276" s="34">
        <v>44081</v>
      </c>
      <c r="AM276" s="34">
        <v>218</v>
      </c>
      <c r="AN276" s="34">
        <f>1744*2550</f>
        <v>4447200</v>
      </c>
      <c r="AO276" s="60">
        <f t="shared" si="41"/>
        <v>588600</v>
      </c>
      <c r="AP276" s="59">
        <f>800000+900000</f>
        <v>1700000</v>
      </c>
      <c r="AQ276" s="55">
        <v>17212300609300</v>
      </c>
      <c r="AR276" s="55">
        <v>233809361800</v>
      </c>
      <c r="AS276" s="55">
        <v>4875989900</v>
      </c>
      <c r="AT276" s="55">
        <v>18626080100</v>
      </c>
      <c r="AU276" s="55">
        <v>11122126</v>
      </c>
      <c r="AV276" s="99">
        <v>1434747683</v>
      </c>
    </row>
    <row r="277" spans="1:48" ht="15" customHeight="1">
      <c r="A277" s="28">
        <v>44082</v>
      </c>
      <c r="B277" s="56">
        <v>2067556800</v>
      </c>
      <c r="C277" s="56">
        <v>0</v>
      </c>
      <c r="D277" s="56">
        <v>0</v>
      </c>
      <c r="E277" s="56">
        <v>275557500</v>
      </c>
      <c r="F277" s="56">
        <f t="shared" si="47"/>
        <v>2343114300</v>
      </c>
      <c r="G277" s="56">
        <f t="shared" si="48"/>
        <v>632641</v>
      </c>
      <c r="H277" s="57">
        <v>12325618200</v>
      </c>
      <c r="I277" s="57"/>
      <c r="J277" s="57">
        <f t="shared" si="46"/>
        <v>12325618200</v>
      </c>
      <c r="K277" s="57"/>
      <c r="L277" s="57">
        <v>1048048000</v>
      </c>
      <c r="M277" s="57"/>
      <c r="N277" s="58">
        <f t="shared" si="42"/>
        <v>1048048000</v>
      </c>
      <c r="O277" s="57">
        <v>486265300</v>
      </c>
      <c r="P277" s="57"/>
      <c r="Q277" s="58">
        <f t="shared" si="44"/>
        <v>486265300</v>
      </c>
      <c r="R277" s="57"/>
      <c r="S277" s="57"/>
      <c r="T277" s="57"/>
      <c r="U277" s="57">
        <v>1534500</v>
      </c>
      <c r="V277" s="57"/>
      <c r="W277" s="57"/>
      <c r="X277" s="57"/>
      <c r="Y277" s="57"/>
      <c r="Z277" s="57"/>
      <c r="AA277" s="57"/>
      <c r="AB277" s="57"/>
      <c r="AC277" s="57"/>
      <c r="AD277" s="57"/>
      <c r="AE277" s="57"/>
      <c r="AF277" s="57"/>
      <c r="AG277" s="57"/>
      <c r="AH277" s="57"/>
      <c r="AI277" s="57"/>
      <c r="AJ277" s="31">
        <f t="shared" si="45"/>
        <v>1607619</v>
      </c>
      <c r="AK277" s="59">
        <f>614910*0.3</f>
        <v>184473</v>
      </c>
      <c r="AL277" s="34">
        <v>44082</v>
      </c>
      <c r="AM277" s="34">
        <v>197</v>
      </c>
      <c r="AN277" s="34">
        <f>1707*2550</f>
        <v>4352850</v>
      </c>
      <c r="AO277" s="60">
        <f t="shared" si="41"/>
        <v>531900</v>
      </c>
      <c r="AP277" s="33"/>
      <c r="AQ277" s="55">
        <v>13622384728680</v>
      </c>
      <c r="AR277" s="55">
        <v>92234727000</v>
      </c>
      <c r="AS277" s="55">
        <v>13861466000</v>
      </c>
      <c r="AT277" s="55">
        <v>16204580300</v>
      </c>
      <c r="AU277" s="55">
        <v>7309483</v>
      </c>
      <c r="AV277" s="99">
        <v>1442057166</v>
      </c>
    </row>
    <row r="278" spans="1:48" ht="15" customHeight="1">
      <c r="A278" s="28">
        <v>44083</v>
      </c>
      <c r="B278" s="56">
        <v>13731253400</v>
      </c>
      <c r="C278" s="56">
        <v>0</v>
      </c>
      <c r="D278" s="56">
        <v>0</v>
      </c>
      <c r="E278" s="56">
        <v>0</v>
      </c>
      <c r="F278" s="56">
        <f t="shared" si="47"/>
        <v>13731253400</v>
      </c>
      <c r="G278" s="56">
        <f t="shared" si="48"/>
        <v>3707438</v>
      </c>
      <c r="H278" s="57">
        <v>3301209900</v>
      </c>
      <c r="I278" s="57">
        <v>1382000000</v>
      </c>
      <c r="J278" s="57">
        <f t="shared" si="46"/>
        <v>4683209900</v>
      </c>
      <c r="K278" s="57"/>
      <c r="L278" s="57">
        <v>2933645500</v>
      </c>
      <c r="M278" s="57"/>
      <c r="N278" s="58">
        <f t="shared" si="42"/>
        <v>2933645500</v>
      </c>
      <c r="O278" s="57">
        <v>103736300</v>
      </c>
      <c r="P278" s="57"/>
      <c r="Q278" s="58">
        <f t="shared" si="44"/>
        <v>103736300</v>
      </c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/>
      <c r="AE278" s="57"/>
      <c r="AF278" s="57"/>
      <c r="AG278" s="57"/>
      <c r="AH278" s="57"/>
      <c r="AI278" s="57"/>
      <c r="AJ278" s="31">
        <f t="shared" si="45"/>
        <v>1152019</v>
      </c>
      <c r="AK278" s="59">
        <f>539020*0.3</f>
        <v>161706</v>
      </c>
      <c r="AL278" s="34">
        <v>44083</v>
      </c>
      <c r="AM278" s="34">
        <v>283</v>
      </c>
      <c r="AN278" s="34">
        <f>1700*2550</f>
        <v>4335000</v>
      </c>
      <c r="AO278" s="60">
        <f t="shared" si="41"/>
        <v>764100</v>
      </c>
      <c r="AP278" s="33"/>
      <c r="AQ278" s="55">
        <v>13905868344164</v>
      </c>
      <c r="AR278" s="55">
        <v>160737243000</v>
      </c>
      <c r="AS278" s="55">
        <v>7720591700</v>
      </c>
      <c r="AT278" s="55">
        <v>21451845100</v>
      </c>
      <c r="AU278" s="55">
        <v>10120263</v>
      </c>
      <c r="AV278" s="99">
        <v>1452177429</v>
      </c>
    </row>
    <row r="279" spans="1:48" ht="15" customHeight="1" thickBot="1">
      <c r="A279" s="28">
        <v>44084</v>
      </c>
      <c r="B279" s="56">
        <v>15607568500</v>
      </c>
      <c r="C279" s="56">
        <v>3301179500</v>
      </c>
      <c r="D279" s="56">
        <v>0</v>
      </c>
      <c r="E279" s="56">
        <v>0</v>
      </c>
      <c r="F279" s="56">
        <f t="shared" si="47"/>
        <v>18908748000</v>
      </c>
      <c r="G279" s="56">
        <f t="shared" si="48"/>
        <v>5105362</v>
      </c>
      <c r="H279" s="57">
        <v>8653925400</v>
      </c>
      <c r="I279" s="57">
        <v>13880000000</v>
      </c>
      <c r="J279" s="57">
        <f t="shared" si="46"/>
        <v>22533925400</v>
      </c>
      <c r="K279" s="57"/>
      <c r="L279" s="57">
        <v>1124109500</v>
      </c>
      <c r="M279" s="57">
        <v>2550000000</v>
      </c>
      <c r="N279" s="58">
        <f t="shared" si="42"/>
        <v>3674109500</v>
      </c>
      <c r="O279" s="57">
        <v>485484500</v>
      </c>
      <c r="P279" s="57"/>
      <c r="Q279" s="58">
        <f t="shared" si="44"/>
        <v>485484500</v>
      </c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  <c r="AC279" s="57"/>
      <c r="AD279" s="57"/>
      <c r="AE279" s="57"/>
      <c r="AF279" s="57"/>
      <c r="AG279" s="57"/>
      <c r="AH279" s="57"/>
      <c r="AI279" s="57"/>
      <c r="AJ279" s="31">
        <f t="shared" si="45"/>
        <v>4181751</v>
      </c>
      <c r="AK279" s="59">
        <f>181480*0.3</f>
        <v>54444</v>
      </c>
      <c r="AL279" s="34">
        <v>44084</v>
      </c>
      <c r="AM279" s="34">
        <v>592</v>
      </c>
      <c r="AN279" s="34">
        <f>2008*2550</f>
        <v>5120400</v>
      </c>
      <c r="AO279" s="60">
        <f t="shared" si="41"/>
        <v>1598400</v>
      </c>
      <c r="AP279" s="59">
        <v>900000</v>
      </c>
      <c r="AQ279" s="55">
        <v>24621457362200</v>
      </c>
      <c r="AR279" s="55">
        <v>127126178400</v>
      </c>
      <c r="AS279" s="55">
        <v>26806123900</v>
      </c>
      <c r="AT279" s="55">
        <v>45714871900</v>
      </c>
      <c r="AU279" s="55">
        <v>16960357</v>
      </c>
      <c r="AV279" s="99">
        <v>1469137786</v>
      </c>
    </row>
    <row r="280" spans="1:48" ht="15" customHeight="1">
      <c r="A280" s="35">
        <v>44085</v>
      </c>
      <c r="B280" s="61">
        <v>11910443000</v>
      </c>
      <c r="C280" s="61">
        <v>856948500</v>
      </c>
      <c r="D280" s="61">
        <v>0</v>
      </c>
      <c r="E280" s="61">
        <v>363001000</v>
      </c>
      <c r="F280" s="61">
        <f t="shared" si="47"/>
        <v>13130392500</v>
      </c>
      <c r="G280" s="61">
        <f t="shared" si="48"/>
        <v>3545206</v>
      </c>
      <c r="H280" s="62">
        <v>12953581400</v>
      </c>
      <c r="I280" s="62"/>
      <c r="J280" s="62">
        <f t="shared" si="46"/>
        <v>12953581400</v>
      </c>
      <c r="K280" s="62"/>
      <c r="L280" s="62">
        <v>1478736300</v>
      </c>
      <c r="M280" s="62"/>
      <c r="N280" s="62">
        <f t="shared" si="42"/>
        <v>1478736300</v>
      </c>
      <c r="O280" s="62">
        <v>321305900</v>
      </c>
      <c r="P280" s="62"/>
      <c r="Q280" s="62">
        <f t="shared" si="44"/>
        <v>321305900</v>
      </c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  <c r="AI280" s="62"/>
      <c r="AJ280" s="37">
        <f t="shared" si="45"/>
        <v>1722994</v>
      </c>
      <c r="AK280" s="63">
        <f>1294080*0.3</f>
        <v>388224</v>
      </c>
      <c r="AL280" s="39">
        <v>44085</v>
      </c>
      <c r="AM280" s="39">
        <v>319</v>
      </c>
      <c r="AN280" s="39">
        <f>1787*2550*3</f>
        <v>13670550</v>
      </c>
      <c r="AO280" s="64">
        <f t="shared" si="41"/>
        <v>861300</v>
      </c>
      <c r="AP280" s="38">
        <f>900000</f>
        <v>900000</v>
      </c>
      <c r="AQ280" s="55">
        <v>12682525523462</v>
      </c>
      <c r="AR280" s="55">
        <v>64675370000</v>
      </c>
      <c r="AS280" s="55">
        <v>14753623600</v>
      </c>
      <c r="AT280" s="55">
        <v>27884016100</v>
      </c>
      <c r="AU280" s="55">
        <v>21088274</v>
      </c>
      <c r="AV280" s="99">
        <v>1490226060</v>
      </c>
    </row>
    <row r="281" spans="1:48" ht="15">
      <c r="A281" s="28">
        <v>44088</v>
      </c>
      <c r="B281" s="56">
        <v>0</v>
      </c>
      <c r="C281" s="56">
        <v>0</v>
      </c>
      <c r="D281" s="56">
        <v>0</v>
      </c>
      <c r="E281" s="56">
        <v>0</v>
      </c>
      <c r="F281" s="56">
        <f t="shared" si="47"/>
        <v>0</v>
      </c>
      <c r="G281" s="56">
        <f t="shared" si="48"/>
        <v>0</v>
      </c>
      <c r="H281" s="57">
        <v>1434720400</v>
      </c>
      <c r="I281" s="57"/>
      <c r="J281" s="57">
        <f t="shared" si="46"/>
        <v>1434720400</v>
      </c>
      <c r="K281" s="57"/>
      <c r="L281" s="57">
        <v>64355800</v>
      </c>
      <c r="M281" s="57"/>
      <c r="N281" s="58">
        <f t="shared" si="42"/>
        <v>64355800</v>
      </c>
      <c r="O281" s="57">
        <v>97200000</v>
      </c>
      <c r="P281" s="57"/>
      <c r="Q281" s="58">
        <f t="shared" si="44"/>
        <v>97200000</v>
      </c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  <c r="AF281" s="57"/>
      <c r="AG281" s="57"/>
      <c r="AH281" s="57"/>
      <c r="AI281" s="57"/>
      <c r="AJ281" s="31">
        <f t="shared" si="45"/>
        <v>184030</v>
      </c>
      <c r="AK281" s="59">
        <f>7890*0.3</f>
        <v>2367</v>
      </c>
      <c r="AL281" s="34">
        <v>44088</v>
      </c>
      <c r="AM281" s="34">
        <v>19</v>
      </c>
      <c r="AN281" s="34">
        <f>1804*2550</f>
        <v>4600200</v>
      </c>
      <c r="AO281" s="60">
        <f t="shared" si="41"/>
        <v>51300</v>
      </c>
      <c r="AP281" s="33"/>
      <c r="AQ281" s="55">
        <v>15003375169476</v>
      </c>
      <c r="AR281" s="55">
        <v>31324601800</v>
      </c>
      <c r="AS281" s="55">
        <v>1596276200</v>
      </c>
      <c r="AT281" s="55">
        <v>1596276200</v>
      </c>
      <c r="AU281" s="55">
        <v>4837897</v>
      </c>
      <c r="AV281" s="99">
        <v>1495063957</v>
      </c>
    </row>
    <row r="282" spans="1:48" ht="15">
      <c r="A282" s="28">
        <v>44089</v>
      </c>
      <c r="B282" s="56">
        <v>4615504500</v>
      </c>
      <c r="C282" s="56">
        <v>2128123000</v>
      </c>
      <c r="D282" s="56">
        <v>0</v>
      </c>
      <c r="E282" s="56">
        <v>0</v>
      </c>
      <c r="F282" s="56">
        <f>B282+C282+D282+E282</f>
        <v>6743627500</v>
      </c>
      <c r="G282" s="56">
        <f t="shared" si="48"/>
        <v>1820779</v>
      </c>
      <c r="H282" s="57">
        <v>2217229700</v>
      </c>
      <c r="I282" s="57"/>
      <c r="J282" s="57">
        <f t="shared" si="46"/>
        <v>2217229700</v>
      </c>
      <c r="K282" s="57"/>
      <c r="L282" s="57"/>
      <c r="M282" s="57"/>
      <c r="N282" s="58">
        <f t="shared" si="42"/>
        <v>0</v>
      </c>
      <c r="O282" s="57"/>
      <c r="P282" s="57"/>
      <c r="Q282" s="58">
        <f t="shared" si="44"/>
        <v>0</v>
      </c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  <c r="AC282" s="57"/>
      <c r="AD282" s="57"/>
      <c r="AE282" s="57"/>
      <c r="AF282" s="57"/>
      <c r="AG282" s="57"/>
      <c r="AH282" s="57"/>
      <c r="AI282" s="57"/>
      <c r="AJ282" s="31">
        <f t="shared" si="45"/>
        <v>239461</v>
      </c>
      <c r="AK282" s="59">
        <f>274320*0.3</f>
        <v>82296</v>
      </c>
      <c r="AL282" s="34">
        <v>44089</v>
      </c>
      <c r="AM282" s="34">
        <v>124</v>
      </c>
      <c r="AN282" s="34">
        <f>1692*2550</f>
        <v>4314600</v>
      </c>
      <c r="AO282" s="60">
        <f t="shared" si="41"/>
        <v>334800</v>
      </c>
      <c r="AP282" s="59">
        <v>800000</v>
      </c>
      <c r="AQ282" s="55">
        <v>15784454561200</v>
      </c>
      <c r="AR282" s="55">
        <v>67119827600</v>
      </c>
      <c r="AS282" s="55">
        <v>2329150400</v>
      </c>
      <c r="AT282" s="55">
        <v>9072777900</v>
      </c>
      <c r="AU282" s="55">
        <v>7591936</v>
      </c>
      <c r="AV282" s="99">
        <v>1502655893</v>
      </c>
    </row>
    <row r="283" spans="1:48" ht="15">
      <c r="A283" s="28">
        <v>44090</v>
      </c>
      <c r="B283" s="56">
        <v>608000000</v>
      </c>
      <c r="C283" s="56">
        <v>0</v>
      </c>
      <c r="D283" s="56">
        <v>0</v>
      </c>
      <c r="E283" s="56">
        <v>0</v>
      </c>
      <c r="F283" s="56">
        <f t="shared" ref="F283:F324" si="49">B283+C283+D283+E283</f>
        <v>608000000</v>
      </c>
      <c r="G283" s="56">
        <f t="shared" si="48"/>
        <v>164160</v>
      </c>
      <c r="H283" s="57">
        <v>3212900</v>
      </c>
      <c r="I283" s="57">
        <v>1394000000</v>
      </c>
      <c r="J283" s="57">
        <f t="shared" si="46"/>
        <v>1397212900</v>
      </c>
      <c r="K283" s="57"/>
      <c r="L283" s="57">
        <v>128500</v>
      </c>
      <c r="M283" s="57"/>
      <c r="N283" s="58">
        <f t="shared" si="42"/>
        <v>128500</v>
      </c>
      <c r="O283" s="57"/>
      <c r="P283" s="57"/>
      <c r="Q283" s="58">
        <f t="shared" si="44"/>
        <v>0</v>
      </c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  <c r="AC283" s="57"/>
      <c r="AD283" s="57"/>
      <c r="AE283" s="57"/>
      <c r="AF283" s="57"/>
      <c r="AG283" s="57"/>
      <c r="AH283" s="57"/>
      <c r="AI283" s="57"/>
      <c r="AJ283" s="31">
        <f t="shared" si="45"/>
        <v>251290</v>
      </c>
      <c r="AK283" s="33">
        <f>230*0.3</f>
        <v>69</v>
      </c>
      <c r="AL283" s="34">
        <v>44090</v>
      </c>
      <c r="AM283" s="34">
        <v>2221</v>
      </c>
      <c r="AN283" s="34">
        <f>1709*2550</f>
        <v>4357950</v>
      </c>
      <c r="AO283" s="60">
        <f t="shared" si="41"/>
        <v>5996700</v>
      </c>
      <c r="AP283" s="33"/>
      <c r="AQ283" s="55">
        <v>12587508396560</v>
      </c>
      <c r="AR283" s="55">
        <v>6929822000</v>
      </c>
      <c r="AS283" s="55">
        <v>1467091400</v>
      </c>
      <c r="AT283" s="55">
        <v>1467091400</v>
      </c>
      <c r="AU283" s="55">
        <v>10770169</v>
      </c>
      <c r="AV283" s="99">
        <v>1513426062</v>
      </c>
    </row>
    <row r="284" spans="1:48" ht="15.75" thickBot="1">
      <c r="A284" s="28">
        <v>44091</v>
      </c>
      <c r="B284" s="56">
        <v>35398730900</v>
      </c>
      <c r="C284" s="56">
        <v>8911142000</v>
      </c>
      <c r="D284" s="56">
        <v>0</v>
      </c>
      <c r="E284" s="56">
        <v>0</v>
      </c>
      <c r="F284" s="56">
        <f t="shared" si="49"/>
        <v>44309872900</v>
      </c>
      <c r="G284" s="56">
        <f t="shared" si="48"/>
        <v>11963666</v>
      </c>
      <c r="H284" s="57">
        <v>5583083100</v>
      </c>
      <c r="I284" s="57"/>
      <c r="J284" s="57">
        <f t="shared" si="46"/>
        <v>5583083100</v>
      </c>
      <c r="K284" s="57"/>
      <c r="L284" s="57">
        <v>1260558000</v>
      </c>
      <c r="M284" s="57"/>
      <c r="N284" s="58">
        <f t="shared" si="42"/>
        <v>1260558000</v>
      </c>
      <c r="O284" s="57">
        <v>9877000</v>
      </c>
      <c r="P284" s="57"/>
      <c r="Q284" s="58">
        <f t="shared" si="44"/>
        <v>9877000</v>
      </c>
      <c r="R284" s="57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  <c r="AC284" s="57"/>
      <c r="AD284" s="57"/>
      <c r="AE284" s="57"/>
      <c r="AF284" s="57"/>
      <c r="AG284" s="57"/>
      <c r="AH284" s="57"/>
      <c r="AI284" s="57"/>
      <c r="AJ284" s="31">
        <f t="shared" si="45"/>
        <v>831651</v>
      </c>
      <c r="AK284" s="33">
        <f>1367920*0.3</f>
        <v>410376</v>
      </c>
      <c r="AL284" s="34">
        <v>44091</v>
      </c>
      <c r="AM284" s="34">
        <v>746</v>
      </c>
      <c r="AN284" s="34">
        <f>1069*2550</f>
        <v>2725950</v>
      </c>
      <c r="AO284" s="60">
        <f t="shared" si="41"/>
        <v>2014200</v>
      </c>
      <c r="AP284" s="59">
        <f>600000+700000</f>
        <v>1300000</v>
      </c>
      <c r="AQ284" s="55">
        <v>15424941488620</v>
      </c>
      <c r="AR284" s="55">
        <v>193386196000</v>
      </c>
      <c r="AS284" s="55">
        <v>6853518100</v>
      </c>
      <c r="AT284" s="55">
        <v>51163391000</v>
      </c>
      <c r="AU284" s="55">
        <v>19245843</v>
      </c>
      <c r="AV284" s="99">
        <v>1532671905</v>
      </c>
    </row>
    <row r="285" spans="1:48" ht="15">
      <c r="A285" s="35">
        <v>44092</v>
      </c>
      <c r="B285" s="61">
        <v>11089895700</v>
      </c>
      <c r="C285" s="61">
        <v>1021212000</v>
      </c>
      <c r="D285" s="61"/>
      <c r="E285" s="61"/>
      <c r="F285" s="61">
        <f t="shared" si="49"/>
        <v>12111107700</v>
      </c>
      <c r="G285" s="61">
        <f t="shared" si="48"/>
        <v>3269999</v>
      </c>
      <c r="H285" s="62">
        <v>13290565800</v>
      </c>
      <c r="I285" s="62"/>
      <c r="J285" s="62">
        <f t="shared" si="46"/>
        <v>13290565800</v>
      </c>
      <c r="K285" s="62"/>
      <c r="L285" s="62">
        <v>2399426700</v>
      </c>
      <c r="M285" s="62"/>
      <c r="N285" s="62">
        <f t="shared" si="42"/>
        <v>2399426700</v>
      </c>
      <c r="O285" s="62">
        <v>2983452600</v>
      </c>
      <c r="P285" s="62"/>
      <c r="Q285" s="62">
        <f t="shared" si="44"/>
        <v>2983452600</v>
      </c>
      <c r="R285" s="62">
        <v>50368100</v>
      </c>
      <c r="S285" s="62"/>
      <c r="T285" s="62"/>
      <c r="U285" s="62">
        <v>3473616200</v>
      </c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  <c r="AI285" s="62"/>
      <c r="AJ285" s="37">
        <f t="shared" si="45"/>
        <v>3038617</v>
      </c>
      <c r="AK285" s="63">
        <f>74420*0.3</f>
        <v>22326</v>
      </c>
      <c r="AL285" s="39">
        <v>44092</v>
      </c>
      <c r="AM285" s="39">
        <v>408</v>
      </c>
      <c r="AN285" s="39">
        <f>1421*2550*3</f>
        <v>10870650</v>
      </c>
      <c r="AO285" s="64">
        <f t="shared" si="41"/>
        <v>1101600</v>
      </c>
      <c r="AP285" s="63">
        <f>600000+100000</f>
        <v>700000</v>
      </c>
      <c r="AQ285" s="55">
        <v>15380739858500</v>
      </c>
      <c r="AR285" s="55">
        <v>91678778000</v>
      </c>
      <c r="AS285" s="55">
        <v>22197429400</v>
      </c>
      <c r="AT285" s="55">
        <v>33981882100</v>
      </c>
      <c r="AU285" s="55">
        <v>19003192</v>
      </c>
      <c r="AV285" s="99">
        <v>1551675097</v>
      </c>
    </row>
    <row r="286" spans="1:48" ht="15">
      <c r="A286" s="28">
        <v>44095</v>
      </c>
      <c r="B286" s="56">
        <v>14803783500</v>
      </c>
      <c r="C286" s="56">
        <v>0</v>
      </c>
      <c r="D286" s="56">
        <v>0</v>
      </c>
      <c r="E286" s="56">
        <v>0</v>
      </c>
      <c r="F286" s="56">
        <f t="shared" si="49"/>
        <v>14803783500</v>
      </c>
      <c r="G286" s="56">
        <f t="shared" si="48"/>
        <v>3997022</v>
      </c>
      <c r="H286" s="57">
        <v>10601802700</v>
      </c>
      <c r="I286" s="57"/>
      <c r="J286" s="57">
        <f t="shared" si="46"/>
        <v>10601802700</v>
      </c>
      <c r="K286" s="57"/>
      <c r="L286" s="57">
        <v>2353769000</v>
      </c>
      <c r="M286" s="57"/>
      <c r="N286" s="58">
        <f t="shared" si="42"/>
        <v>2353769000</v>
      </c>
      <c r="O286" s="57">
        <v>3993000</v>
      </c>
      <c r="P286" s="57"/>
      <c r="Q286" s="58">
        <f t="shared" si="44"/>
        <v>3993000</v>
      </c>
      <c r="R286" s="57">
        <v>23906500</v>
      </c>
      <c r="S286" s="57"/>
      <c r="T286" s="57"/>
      <c r="U286" s="57">
        <v>525315200</v>
      </c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  <c r="AG286" s="57"/>
      <c r="AH286" s="57"/>
      <c r="AI286" s="57"/>
      <c r="AJ286" s="31">
        <f t="shared" si="45"/>
        <v>1668252</v>
      </c>
      <c r="AK286" s="59">
        <f>958160*0.3</f>
        <v>287448</v>
      </c>
      <c r="AL286" s="34">
        <v>44095</v>
      </c>
      <c r="AM286" s="34">
        <v>350</v>
      </c>
      <c r="AN286" s="34">
        <f>1317*2550</f>
        <v>3358350</v>
      </c>
      <c r="AO286" s="60">
        <f t="shared" si="41"/>
        <v>945000</v>
      </c>
      <c r="AP286" s="33"/>
      <c r="AQ286" s="55">
        <v>18908524057652</v>
      </c>
      <c r="AR286" s="55">
        <v>58553440000</v>
      </c>
      <c r="AS286" s="55">
        <v>13643309500</v>
      </c>
      <c r="AT286" s="55">
        <v>33421848200</v>
      </c>
      <c r="AU286" s="55">
        <v>10256072</v>
      </c>
      <c r="AV286" s="99">
        <v>1561931169</v>
      </c>
    </row>
    <row r="287" spans="1:48" ht="15">
      <c r="A287" s="28">
        <v>44096</v>
      </c>
      <c r="B287" s="56">
        <v>14463610600</v>
      </c>
      <c r="C287" s="56">
        <v>0</v>
      </c>
      <c r="D287" s="56">
        <v>0</v>
      </c>
      <c r="E287" s="56">
        <v>0</v>
      </c>
      <c r="F287" s="56">
        <f t="shared" si="49"/>
        <v>14463610600</v>
      </c>
      <c r="G287" s="56">
        <f t="shared" si="48"/>
        <v>3905175</v>
      </c>
      <c r="H287" s="57">
        <v>142300</v>
      </c>
      <c r="I287" s="57">
        <v>1421500000</v>
      </c>
      <c r="J287" s="57">
        <f t="shared" si="46"/>
        <v>1421642300</v>
      </c>
      <c r="K287" s="57"/>
      <c r="L287" s="57">
        <v>3546300</v>
      </c>
      <c r="M287" s="57">
        <v>5256000000</v>
      </c>
      <c r="N287" s="58">
        <f t="shared" si="42"/>
        <v>5259546300</v>
      </c>
      <c r="O287" s="57">
        <v>1796336300</v>
      </c>
      <c r="P287" s="57"/>
      <c r="Q287" s="58">
        <f t="shared" si="44"/>
        <v>1796336300</v>
      </c>
      <c r="R287" s="57">
        <v>3102400</v>
      </c>
      <c r="S287" s="57"/>
      <c r="T287" s="57"/>
      <c r="U287" s="57">
        <v>105000</v>
      </c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57"/>
      <c r="AG287" s="57"/>
      <c r="AH287" s="57"/>
      <c r="AI287" s="57"/>
      <c r="AJ287" s="31">
        <f t="shared" si="45"/>
        <v>1526522</v>
      </c>
      <c r="AK287" s="59">
        <f>546120*0.3</f>
        <v>163836</v>
      </c>
      <c r="AL287" s="34">
        <v>44096</v>
      </c>
      <c r="AM287" s="34">
        <v>274</v>
      </c>
      <c r="AN287" s="34">
        <f>1201*2550</f>
        <v>3062550</v>
      </c>
      <c r="AO287" s="60">
        <f t="shared" si="41"/>
        <v>739800</v>
      </c>
      <c r="AP287" s="33"/>
      <c r="AQ287" s="55">
        <v>16492184527860</v>
      </c>
      <c r="AR287" s="55">
        <v>106330000800</v>
      </c>
      <c r="AS287" s="55">
        <v>8480732300</v>
      </c>
      <c r="AT287" s="55">
        <v>22944342900</v>
      </c>
      <c r="AU287" s="55">
        <v>9397883</v>
      </c>
      <c r="AV287" s="99">
        <v>1571329052</v>
      </c>
    </row>
    <row r="288" spans="1:48" ht="15">
      <c r="A288" s="28">
        <v>44097</v>
      </c>
      <c r="B288" s="56">
        <v>5516227200</v>
      </c>
      <c r="C288" s="56">
        <v>0</v>
      </c>
      <c r="D288" s="56">
        <v>0</v>
      </c>
      <c r="E288" s="56">
        <v>1468762500</v>
      </c>
      <c r="F288" s="56">
        <f t="shared" si="49"/>
        <v>6984989700</v>
      </c>
      <c r="G288" s="56">
        <f t="shared" si="48"/>
        <v>1885947</v>
      </c>
      <c r="H288" s="57">
        <v>1488843800</v>
      </c>
      <c r="I288" s="57">
        <v>5734500000</v>
      </c>
      <c r="J288" s="57">
        <f t="shared" si="46"/>
        <v>7223343800</v>
      </c>
      <c r="K288" s="57"/>
      <c r="L288" s="57"/>
      <c r="M288" s="57">
        <v>1333000000</v>
      </c>
      <c r="N288" s="58">
        <f t="shared" si="42"/>
        <v>1333000000</v>
      </c>
      <c r="O288" s="57">
        <v>1056736900</v>
      </c>
      <c r="P288" s="57"/>
      <c r="Q288" s="58">
        <f t="shared" si="44"/>
        <v>1056736900</v>
      </c>
      <c r="R288" s="57">
        <v>36904400</v>
      </c>
      <c r="S288" s="57"/>
      <c r="T288" s="57"/>
      <c r="U288" s="57">
        <v>2022780000</v>
      </c>
      <c r="V288" s="57"/>
      <c r="W288" s="57"/>
      <c r="X288" s="57"/>
      <c r="Y288" s="57"/>
      <c r="Z288" s="57"/>
      <c r="AA288" s="57"/>
      <c r="AB288" s="57"/>
      <c r="AC288" s="57"/>
      <c r="AD288" s="57"/>
      <c r="AE288" s="57"/>
      <c r="AF288" s="57"/>
      <c r="AG288" s="57"/>
      <c r="AH288" s="57"/>
      <c r="AI288" s="57"/>
      <c r="AJ288" s="31">
        <f t="shared" si="45"/>
        <v>1993901</v>
      </c>
      <c r="AK288" s="59">
        <f>445550*0.3</f>
        <v>133665</v>
      </c>
      <c r="AL288" s="34">
        <v>44097</v>
      </c>
      <c r="AM288" s="34">
        <v>175</v>
      </c>
      <c r="AN288" s="34">
        <f>1198*2550</f>
        <v>3054900</v>
      </c>
      <c r="AO288" s="60">
        <f t="shared" si="41"/>
        <v>472500</v>
      </c>
      <c r="AP288" s="59">
        <f>ROUND(0.03%*E288,0)</f>
        <v>440629</v>
      </c>
      <c r="AQ288" s="55">
        <v>15839561409892</v>
      </c>
      <c r="AR288" s="55">
        <v>153160473400</v>
      </c>
      <c r="AS288" s="55">
        <v>15973265100</v>
      </c>
      <c r="AT288" s="55">
        <v>22958254800</v>
      </c>
      <c r="AU288" s="55">
        <v>7981542</v>
      </c>
      <c r="AV288" s="99">
        <v>1579310594</v>
      </c>
    </row>
    <row r="289" spans="1:48" ht="15.75" thickBot="1">
      <c r="A289" s="28">
        <v>44098</v>
      </c>
      <c r="B289" s="56">
        <v>16436249600</v>
      </c>
      <c r="C289" s="56">
        <v>3762478000</v>
      </c>
      <c r="D289" s="56">
        <v>0</v>
      </c>
      <c r="E289" s="56">
        <v>879610500</v>
      </c>
      <c r="F289" s="56">
        <f t="shared" si="49"/>
        <v>21078338100</v>
      </c>
      <c r="G289" s="56">
        <f t="shared" si="48"/>
        <v>5691151</v>
      </c>
      <c r="H289" s="57">
        <v>353282000</v>
      </c>
      <c r="I289" s="57"/>
      <c r="J289" s="57">
        <f t="shared" si="46"/>
        <v>353282000</v>
      </c>
      <c r="K289" s="57"/>
      <c r="L289" s="57"/>
      <c r="M289" s="57"/>
      <c r="N289" s="58">
        <f t="shared" si="42"/>
        <v>0</v>
      </c>
      <c r="O289" s="57">
        <v>36672300</v>
      </c>
      <c r="P289" s="57"/>
      <c r="Q289" s="58">
        <f t="shared" si="44"/>
        <v>36672300</v>
      </c>
      <c r="R289" s="57">
        <v>5351300</v>
      </c>
      <c r="S289" s="57"/>
      <c r="T289" s="57"/>
      <c r="U289" s="57">
        <v>4341900</v>
      </c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  <c r="AF289" s="57"/>
      <c r="AG289" s="57"/>
      <c r="AH289" s="57"/>
      <c r="AI289" s="57"/>
      <c r="AJ289" s="31">
        <f t="shared" si="45"/>
        <v>46500</v>
      </c>
      <c r="AK289" s="59">
        <f>421790*0.3</f>
        <v>126537</v>
      </c>
      <c r="AL289" s="34">
        <v>44098</v>
      </c>
      <c r="AM289" s="34">
        <v>119</v>
      </c>
      <c r="AN289" s="34">
        <f>1079*2550</f>
        <v>2751450</v>
      </c>
      <c r="AO289" s="60">
        <f t="shared" si="41"/>
        <v>321300</v>
      </c>
      <c r="AP289" s="59">
        <f>500000+800000</f>
        <v>1300000</v>
      </c>
      <c r="AQ289" s="55">
        <v>15263127630334</v>
      </c>
      <c r="AR289" s="55">
        <v>71742907200</v>
      </c>
      <c r="AS289" s="55">
        <v>6127647500</v>
      </c>
      <c r="AT289" s="55">
        <v>27205985600</v>
      </c>
      <c r="AU289" s="55">
        <v>10236938</v>
      </c>
      <c r="AV289" s="99">
        <v>1589547532</v>
      </c>
    </row>
    <row r="290" spans="1:48" ht="15">
      <c r="A290" s="35">
        <v>44099</v>
      </c>
      <c r="B290" s="61">
        <v>7523103300</v>
      </c>
      <c r="C290" s="61">
        <v>0</v>
      </c>
      <c r="D290" s="61">
        <v>0</v>
      </c>
      <c r="E290" s="61">
        <v>0</v>
      </c>
      <c r="F290" s="61">
        <f t="shared" si="49"/>
        <v>7523103300</v>
      </c>
      <c r="G290" s="61">
        <f t="shared" si="48"/>
        <v>2031238</v>
      </c>
      <c r="H290" s="62">
        <v>1477503900</v>
      </c>
      <c r="I290" s="62"/>
      <c r="J290" s="62">
        <f t="shared" si="46"/>
        <v>1477503900</v>
      </c>
      <c r="K290" s="62"/>
      <c r="L290" s="62">
        <v>2392200000</v>
      </c>
      <c r="M290" s="62">
        <v>1326000000</v>
      </c>
      <c r="N290" s="62">
        <f t="shared" si="42"/>
        <v>3718200000</v>
      </c>
      <c r="O290" s="62">
        <v>508355400</v>
      </c>
      <c r="P290" s="62"/>
      <c r="Q290" s="62">
        <f t="shared" si="44"/>
        <v>508355400</v>
      </c>
      <c r="R290" s="62">
        <v>111400</v>
      </c>
      <c r="S290" s="62"/>
      <c r="T290" s="62"/>
      <c r="U290" s="62">
        <v>211000</v>
      </c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  <c r="AI290" s="62"/>
      <c r="AJ290" s="37">
        <f t="shared" si="45"/>
        <v>920408</v>
      </c>
      <c r="AK290" s="63">
        <f>153710*0.3</f>
        <v>46113</v>
      </c>
      <c r="AL290" s="39">
        <v>44099</v>
      </c>
      <c r="AM290" s="39">
        <v>159</v>
      </c>
      <c r="AN290" s="39">
        <f>1192*2550*3</f>
        <v>9118800</v>
      </c>
      <c r="AO290" s="64">
        <f t="shared" si="41"/>
        <v>429300</v>
      </c>
      <c r="AP290" s="38"/>
      <c r="AQ290" s="55">
        <v>15419490033880</v>
      </c>
      <c r="AR290" s="55">
        <v>81429041400</v>
      </c>
      <c r="AS290" s="55">
        <v>5704889200</v>
      </c>
      <c r="AT290" s="55">
        <v>13227992500</v>
      </c>
      <c r="AU290" s="55">
        <v>12545859</v>
      </c>
      <c r="AV290" s="99">
        <v>1602093391</v>
      </c>
    </row>
    <row r="291" spans="1:48" ht="15">
      <c r="A291" s="28">
        <v>44102</v>
      </c>
      <c r="B291" s="56">
        <v>6701653000</v>
      </c>
      <c r="C291" s="56">
        <v>0</v>
      </c>
      <c r="D291" s="56">
        <v>0</v>
      </c>
      <c r="E291" s="56">
        <v>0</v>
      </c>
      <c r="F291" s="56">
        <f t="shared" si="49"/>
        <v>6701653000</v>
      </c>
      <c r="G291" s="56">
        <f t="shared" si="48"/>
        <v>1809446</v>
      </c>
      <c r="H291" s="57">
        <v>234273000</v>
      </c>
      <c r="I291" s="57"/>
      <c r="J291" s="57">
        <f t="shared" si="46"/>
        <v>234273000</v>
      </c>
      <c r="K291" s="57"/>
      <c r="L291" s="57">
        <v>1441965700</v>
      </c>
      <c r="M291" s="57"/>
      <c r="N291" s="58">
        <f t="shared" si="42"/>
        <v>1441965700</v>
      </c>
      <c r="O291" s="57">
        <v>1032217700</v>
      </c>
      <c r="P291" s="57"/>
      <c r="Q291" s="58">
        <f t="shared" si="44"/>
        <v>1032217700</v>
      </c>
      <c r="R291" s="57">
        <v>13349000</v>
      </c>
      <c r="S291" s="57"/>
      <c r="T291" s="57"/>
      <c r="U291" s="57">
        <v>533597500</v>
      </c>
      <c r="V291" s="57"/>
      <c r="W291" s="57"/>
      <c r="X291" s="57"/>
      <c r="Y291" s="57"/>
      <c r="Z291" s="57"/>
      <c r="AA291" s="57"/>
      <c r="AB291" s="57"/>
      <c r="AC291" s="57"/>
      <c r="AD291" s="57"/>
      <c r="AE291" s="57"/>
      <c r="AF291" s="57"/>
      <c r="AG291" s="57"/>
      <c r="AH291" s="57"/>
      <c r="AI291" s="57"/>
      <c r="AJ291" s="31">
        <f t="shared" si="45"/>
        <v>569105</v>
      </c>
      <c r="AK291" s="59">
        <f>266190*0.3</f>
        <v>79857</v>
      </c>
      <c r="AL291" s="34">
        <v>44102</v>
      </c>
      <c r="AM291" s="34">
        <v>130</v>
      </c>
      <c r="AN291" s="34">
        <f>1190*2550</f>
        <v>3034500</v>
      </c>
      <c r="AO291" s="60">
        <f t="shared" si="41"/>
        <v>351000</v>
      </c>
      <c r="AP291" s="33"/>
      <c r="AQ291" s="55">
        <v>17046386829882</v>
      </c>
      <c r="AR291" s="55">
        <v>66338545600</v>
      </c>
      <c r="AS291" s="55">
        <v>3255402900</v>
      </c>
      <c r="AT291" s="55">
        <v>9957055900</v>
      </c>
      <c r="AU291" s="55">
        <v>5843908</v>
      </c>
      <c r="AV291" s="99">
        <v>1607937299</v>
      </c>
    </row>
    <row r="292" spans="1:48" ht="15">
      <c r="A292" s="28">
        <v>44103</v>
      </c>
      <c r="B292" s="56">
        <v>6018976300</v>
      </c>
      <c r="C292" s="56">
        <v>1581941500</v>
      </c>
      <c r="D292" s="56">
        <v>0</v>
      </c>
      <c r="E292" s="56">
        <v>0</v>
      </c>
      <c r="F292" s="56">
        <f t="shared" si="49"/>
        <v>7600917800</v>
      </c>
      <c r="G292" s="56">
        <f t="shared" si="48"/>
        <v>2052248</v>
      </c>
      <c r="H292" s="57">
        <v>3935935300</v>
      </c>
      <c r="I292" s="57"/>
      <c r="J292" s="57">
        <f t="shared" si="46"/>
        <v>3935935300</v>
      </c>
      <c r="K292" s="57"/>
      <c r="L292" s="57">
        <v>401700000</v>
      </c>
      <c r="M292" s="57"/>
      <c r="N292" s="58">
        <f t="shared" si="42"/>
        <v>401700000</v>
      </c>
      <c r="O292" s="57">
        <v>10470000</v>
      </c>
      <c r="P292" s="57"/>
      <c r="Q292" s="58">
        <f t="shared" si="44"/>
        <v>10470000</v>
      </c>
      <c r="R292" s="57">
        <v>232093100</v>
      </c>
      <c r="S292" s="57"/>
      <c r="T292" s="57"/>
      <c r="U292" s="57">
        <v>4778225000</v>
      </c>
      <c r="V292" s="57"/>
      <c r="W292" s="57"/>
      <c r="X292" s="57"/>
      <c r="Y292" s="57"/>
      <c r="Z292" s="57"/>
      <c r="AA292" s="57"/>
      <c r="AB292" s="57"/>
      <c r="AC292" s="57"/>
      <c r="AD292" s="57"/>
      <c r="AE292" s="57"/>
      <c r="AF292" s="57"/>
      <c r="AG292" s="57"/>
      <c r="AH292" s="57"/>
      <c r="AI292" s="57"/>
      <c r="AJ292" s="31">
        <f t="shared" si="45"/>
        <v>1401129</v>
      </c>
      <c r="AK292" s="59">
        <f>296180*0.3</f>
        <v>88854</v>
      </c>
      <c r="AL292" s="34">
        <v>44103</v>
      </c>
      <c r="AM292" s="34">
        <v>190</v>
      </c>
      <c r="AN292" s="34">
        <f>1140*2550</f>
        <v>2907000</v>
      </c>
      <c r="AO292" s="60">
        <f t="shared" si="41"/>
        <v>513000</v>
      </c>
      <c r="AP292" s="59"/>
      <c r="AQ292" s="55">
        <v>20321742538456</v>
      </c>
      <c r="AR292" s="55">
        <v>80845730000</v>
      </c>
      <c r="AS292" s="55">
        <v>9358423400</v>
      </c>
      <c r="AT292" s="55">
        <v>16959341200</v>
      </c>
      <c r="AU292" s="55">
        <v>6962231</v>
      </c>
      <c r="AV292" s="99">
        <v>1614899530</v>
      </c>
    </row>
    <row r="293" spans="1:48" ht="15">
      <c r="A293" s="28">
        <v>44104</v>
      </c>
      <c r="B293" s="56">
        <v>2826672400</v>
      </c>
      <c r="C293" s="56">
        <v>0</v>
      </c>
      <c r="D293" s="56">
        <v>348551500</v>
      </c>
      <c r="E293" s="56">
        <v>0</v>
      </c>
      <c r="F293" s="56">
        <f t="shared" si="49"/>
        <v>3175223900</v>
      </c>
      <c r="G293" s="56">
        <f t="shared" si="48"/>
        <v>857310</v>
      </c>
      <c r="H293" s="57">
        <v>3988131900</v>
      </c>
      <c r="I293" s="57"/>
      <c r="J293" s="57">
        <f t="shared" si="46"/>
        <v>3988131900</v>
      </c>
      <c r="K293" s="57"/>
      <c r="L293" s="57">
        <v>1713246200</v>
      </c>
      <c r="M293" s="57"/>
      <c r="N293" s="58">
        <f t="shared" si="42"/>
        <v>1713246200</v>
      </c>
      <c r="O293" s="57">
        <v>35898800</v>
      </c>
      <c r="P293" s="57"/>
      <c r="Q293" s="58">
        <f t="shared" si="44"/>
        <v>35898800</v>
      </c>
      <c r="R293" s="57">
        <v>25653600</v>
      </c>
      <c r="S293" s="57"/>
      <c r="T293" s="57"/>
      <c r="U293" s="57">
        <v>2085936700</v>
      </c>
      <c r="V293" s="57"/>
      <c r="W293" s="57"/>
      <c r="X293" s="57"/>
      <c r="Y293" s="57"/>
      <c r="Z293" s="57"/>
      <c r="AA293" s="57"/>
      <c r="AB293" s="57"/>
      <c r="AC293" s="57"/>
      <c r="AD293" s="57"/>
      <c r="AE293" s="57"/>
      <c r="AF293" s="57"/>
      <c r="AG293" s="57"/>
      <c r="AH293" s="57"/>
      <c r="AI293" s="57"/>
      <c r="AJ293" s="31">
        <f t="shared" si="45"/>
        <v>1125651</v>
      </c>
      <c r="AK293" s="59">
        <f>101890*0.3</f>
        <v>30567</v>
      </c>
      <c r="AL293" s="34">
        <v>44104</v>
      </c>
      <c r="AM293" s="34">
        <v>131</v>
      </c>
      <c r="AN293" s="34">
        <f>1247*2550</f>
        <v>3179850</v>
      </c>
      <c r="AO293" s="60">
        <f t="shared" ref="AO293" si="50">AM293*2700</f>
        <v>353700</v>
      </c>
      <c r="AP293" s="59">
        <v>1600000</v>
      </c>
      <c r="AQ293" s="55">
        <v>15288265592600</v>
      </c>
      <c r="AR293" s="55">
        <v>93828874000</v>
      </c>
      <c r="AS293" s="55">
        <v>7849380200</v>
      </c>
      <c r="AT293" s="55">
        <v>11024604100</v>
      </c>
      <c r="AU293" s="55">
        <v>7147078</v>
      </c>
      <c r="AV293" s="99">
        <v>1622046608</v>
      </c>
    </row>
    <row r="294" spans="1:48" ht="15.75" customHeight="1" thickBot="1">
      <c r="A294" s="67">
        <v>44105</v>
      </c>
      <c r="B294" s="68">
        <v>4869590000</v>
      </c>
      <c r="C294" s="68">
        <v>833687500</v>
      </c>
      <c r="D294" s="68">
        <v>0</v>
      </c>
      <c r="E294" s="68">
        <v>0</v>
      </c>
      <c r="F294" s="68">
        <f t="shared" si="49"/>
        <v>5703277500</v>
      </c>
      <c r="G294" s="68">
        <f t="shared" si="48"/>
        <v>1539885</v>
      </c>
      <c r="H294" s="68">
        <v>1559524000</v>
      </c>
      <c r="I294" s="68"/>
      <c r="J294" s="68">
        <f t="shared" si="46"/>
        <v>1559524000</v>
      </c>
      <c r="K294" s="68"/>
      <c r="L294" s="68">
        <v>484200000</v>
      </c>
      <c r="M294" s="68"/>
      <c r="N294" s="69">
        <f t="shared" si="42"/>
        <v>484200000</v>
      </c>
      <c r="O294" s="68">
        <v>15600000</v>
      </c>
      <c r="P294" s="68"/>
      <c r="Q294" s="69">
        <f t="shared" si="44"/>
        <v>15600000</v>
      </c>
      <c r="R294" s="68">
        <v>9318100</v>
      </c>
      <c r="S294" s="68"/>
      <c r="T294" s="68"/>
      <c r="U294" s="68"/>
      <c r="V294" s="68"/>
      <c r="W294" s="68">
        <v>320700</v>
      </c>
      <c r="X294" s="68"/>
      <c r="Y294" s="68"/>
      <c r="Z294" s="68"/>
      <c r="AA294" s="68"/>
      <c r="AB294" s="68"/>
      <c r="AC294" s="68"/>
      <c r="AD294" s="68"/>
      <c r="AE294" s="68"/>
      <c r="AF294" s="68"/>
      <c r="AG294" s="68"/>
      <c r="AH294" s="68"/>
      <c r="AI294" s="68"/>
      <c r="AJ294" s="70">
        <f t="shared" ref="AJ294:AJ325" si="51">ROUND(H294*0.0108%+I294*0.018%+K294*0.018%+L294*0.0108%+M294*0.018%+O294*0.0108%+P294*0.018%+R294*0.018%+W294*0.018%,0)</f>
        <v>224142</v>
      </c>
      <c r="AK294" s="68">
        <f>270910*0.3</f>
        <v>81273</v>
      </c>
      <c r="AL294" s="70">
        <v>44105</v>
      </c>
      <c r="AM294" s="70">
        <v>92</v>
      </c>
      <c r="AN294" s="70">
        <f>1165*2550</f>
        <v>2970750</v>
      </c>
      <c r="AO294" s="68">
        <f>AM294*2700</f>
        <v>248400</v>
      </c>
      <c r="AP294" s="68">
        <f>800000+800000</f>
        <v>1600000</v>
      </c>
      <c r="AQ294" s="55">
        <v>16260900581628</v>
      </c>
      <c r="AR294" s="55">
        <v>50432001800</v>
      </c>
      <c r="AS294" s="55">
        <v>2068962800</v>
      </c>
      <c r="AT294" s="55">
        <v>7772240300</v>
      </c>
      <c r="AU294" s="55">
        <v>6664450</v>
      </c>
      <c r="AV294" s="99">
        <v>1628711058</v>
      </c>
    </row>
    <row r="295" spans="1:48" ht="15">
      <c r="A295" s="35">
        <v>44106</v>
      </c>
      <c r="B295" s="61">
        <v>5198150600</v>
      </c>
      <c r="C295" s="61">
        <v>0</v>
      </c>
      <c r="D295" s="61">
        <v>0</v>
      </c>
      <c r="E295" s="61">
        <v>0</v>
      </c>
      <c r="F295" s="61">
        <f t="shared" si="49"/>
        <v>5198150600</v>
      </c>
      <c r="G295" s="61">
        <f t="shared" si="48"/>
        <v>1403501</v>
      </c>
      <c r="H295" s="62">
        <v>3296963000</v>
      </c>
      <c r="I295" s="62"/>
      <c r="J295" s="62">
        <f t="shared" si="46"/>
        <v>3296963000</v>
      </c>
      <c r="K295" s="62"/>
      <c r="L295" s="62">
        <v>1084817500</v>
      </c>
      <c r="M295" s="62"/>
      <c r="N295" s="62">
        <f t="shared" si="42"/>
        <v>1084817500</v>
      </c>
      <c r="O295" s="62">
        <v>209800</v>
      </c>
      <c r="P295" s="62"/>
      <c r="Q295" s="62">
        <f t="shared" si="44"/>
        <v>209800</v>
      </c>
      <c r="R295" s="62">
        <v>137573000</v>
      </c>
      <c r="S295" s="62"/>
      <c r="T295" s="62"/>
      <c r="U295" s="62"/>
      <c r="V295" s="62"/>
      <c r="W295" s="62">
        <v>3934527800</v>
      </c>
      <c r="X295" s="58"/>
      <c r="Y295" s="58"/>
      <c r="Z295" s="58"/>
      <c r="AA295" s="58"/>
      <c r="AB295" s="58"/>
      <c r="AC295" s="58"/>
      <c r="AD295" s="58"/>
      <c r="AE295" s="58"/>
      <c r="AF295" s="58"/>
      <c r="AG295" s="58"/>
      <c r="AH295" s="58"/>
      <c r="AI295" s="58"/>
      <c r="AJ295" s="31">
        <f t="shared" si="51"/>
        <v>1206233</v>
      </c>
      <c r="AK295" s="63">
        <v>108027</v>
      </c>
      <c r="AL295" s="39">
        <v>44106</v>
      </c>
      <c r="AM295" s="39">
        <v>168</v>
      </c>
      <c r="AN295" s="39">
        <f>1185*2550*3</f>
        <v>9065250</v>
      </c>
      <c r="AO295" s="64">
        <f t="shared" ref="AO295:AO335" si="52">AM295*2700</f>
        <v>453600</v>
      </c>
      <c r="AP295" s="38"/>
      <c r="AQ295" s="55">
        <v>21323713846872</v>
      </c>
      <c r="AR295" s="55">
        <v>36166194400</v>
      </c>
      <c r="AS295" s="55">
        <v>8454091100</v>
      </c>
      <c r="AT295" s="55">
        <v>13652241700</v>
      </c>
      <c r="AU295" s="55">
        <v>12236611</v>
      </c>
      <c r="AV295" s="99">
        <v>1640947669</v>
      </c>
    </row>
    <row r="296" spans="1:48" ht="15">
      <c r="A296" s="28">
        <v>44109</v>
      </c>
      <c r="B296" s="56">
        <v>1901181200</v>
      </c>
      <c r="C296" s="56">
        <v>0</v>
      </c>
      <c r="D296" s="56">
        <v>0</v>
      </c>
      <c r="E296" s="56">
        <v>0</v>
      </c>
      <c r="F296" s="56">
        <f t="shared" si="49"/>
        <v>1901181200</v>
      </c>
      <c r="G296" s="56">
        <f t="shared" si="48"/>
        <v>513319</v>
      </c>
      <c r="H296" s="57">
        <v>360536600</v>
      </c>
      <c r="I296" s="57"/>
      <c r="J296" s="57">
        <f t="shared" si="46"/>
        <v>360536600</v>
      </c>
      <c r="K296" s="57"/>
      <c r="L296" s="57">
        <v>13655500</v>
      </c>
      <c r="M296" s="57"/>
      <c r="N296" s="58">
        <f t="shared" si="42"/>
        <v>13655500</v>
      </c>
      <c r="O296" s="57">
        <v>10420000</v>
      </c>
      <c r="P296" s="57"/>
      <c r="Q296" s="58">
        <f t="shared" si="44"/>
        <v>10420000</v>
      </c>
      <c r="R296" s="57">
        <v>7350600</v>
      </c>
      <c r="S296" s="57"/>
      <c r="T296" s="57"/>
      <c r="U296" s="57"/>
      <c r="V296" s="57"/>
      <c r="W296" s="57"/>
      <c r="X296" s="57"/>
      <c r="Y296" s="57"/>
      <c r="Z296" s="57"/>
      <c r="AA296" s="57"/>
      <c r="AB296" s="57"/>
      <c r="AC296" s="57"/>
      <c r="AD296" s="57"/>
      <c r="AE296" s="57"/>
      <c r="AF296" s="57"/>
      <c r="AG296" s="57"/>
      <c r="AH296" s="57"/>
      <c r="AI296" s="57"/>
      <c r="AJ296" s="31">
        <f t="shared" si="51"/>
        <v>42861</v>
      </c>
      <c r="AK296" s="59">
        <v>492</v>
      </c>
      <c r="AL296" s="34">
        <v>44109</v>
      </c>
      <c r="AM296" s="34">
        <v>39</v>
      </c>
      <c r="AN296" s="34">
        <f>1224*2550</f>
        <v>3121200</v>
      </c>
      <c r="AO296" s="60">
        <f t="shared" si="52"/>
        <v>105300</v>
      </c>
      <c r="AP296" s="33"/>
      <c r="AQ296" s="55">
        <v>17670552119200</v>
      </c>
      <c r="AR296" s="55">
        <v>116599278400</v>
      </c>
      <c r="AS296" s="55">
        <v>391962700</v>
      </c>
      <c r="AT296" s="55">
        <v>2293143900</v>
      </c>
      <c r="AU296" s="55">
        <v>3783172</v>
      </c>
      <c r="AV296" s="99">
        <v>1644730841</v>
      </c>
    </row>
    <row r="297" spans="1:48" ht="15">
      <c r="A297" s="28">
        <v>44110</v>
      </c>
      <c r="B297" s="56">
        <v>14338635100</v>
      </c>
      <c r="C297" s="56">
        <v>0</v>
      </c>
      <c r="D297" s="56">
        <v>0</v>
      </c>
      <c r="E297" s="56">
        <v>0</v>
      </c>
      <c r="F297" s="56">
        <f t="shared" si="49"/>
        <v>14338635100</v>
      </c>
      <c r="G297" s="56">
        <f t="shared" si="48"/>
        <v>3871431</v>
      </c>
      <c r="H297" s="57">
        <v>3875842500</v>
      </c>
      <c r="I297" s="57"/>
      <c r="J297" s="57">
        <f t="shared" si="46"/>
        <v>3875842500</v>
      </c>
      <c r="K297" s="57"/>
      <c r="L297" s="57">
        <v>707688000</v>
      </c>
      <c r="M297" s="57"/>
      <c r="N297" s="58">
        <f t="shared" si="42"/>
        <v>707688000</v>
      </c>
      <c r="O297" s="57"/>
      <c r="P297" s="57"/>
      <c r="Q297" s="58">
        <f t="shared" si="44"/>
        <v>0</v>
      </c>
      <c r="R297" s="57">
        <v>25486000</v>
      </c>
      <c r="S297" s="57"/>
      <c r="T297" s="57"/>
      <c r="U297" s="57"/>
      <c r="V297" s="57"/>
      <c r="W297" s="57">
        <v>2701614000</v>
      </c>
      <c r="X297" s="57"/>
      <c r="Y297" s="57"/>
      <c r="Z297" s="57"/>
      <c r="AA297" s="57"/>
      <c r="AB297" s="57"/>
      <c r="AC297" s="57"/>
      <c r="AD297" s="57"/>
      <c r="AE297" s="57"/>
      <c r="AF297" s="57"/>
      <c r="AG297" s="57"/>
      <c r="AH297" s="57"/>
      <c r="AI297" s="57"/>
      <c r="AJ297" s="31">
        <f t="shared" si="51"/>
        <v>985899</v>
      </c>
      <c r="AK297" s="59">
        <v>243957</v>
      </c>
      <c r="AL297" s="34">
        <v>44110</v>
      </c>
      <c r="AM297" s="34">
        <v>265</v>
      </c>
      <c r="AN297" s="34">
        <f>1049*2550</f>
        <v>2674950</v>
      </c>
      <c r="AO297" s="60">
        <f t="shared" si="52"/>
        <v>715500</v>
      </c>
      <c r="AP297" s="33"/>
      <c r="AQ297" s="55">
        <v>19191723567592</v>
      </c>
      <c r="AR297" s="55">
        <v>87052130200</v>
      </c>
      <c r="AS297" s="55">
        <v>11657630500</v>
      </c>
      <c r="AT297" s="55">
        <v>25996265600</v>
      </c>
      <c r="AU297" s="55">
        <v>8491737</v>
      </c>
      <c r="AV297" s="99">
        <v>1653222578</v>
      </c>
    </row>
    <row r="298" spans="1:48" ht="15">
      <c r="A298" s="28">
        <v>44111</v>
      </c>
      <c r="B298" s="56">
        <v>3929751600</v>
      </c>
      <c r="C298" s="56">
        <v>0</v>
      </c>
      <c r="D298" s="56">
        <v>0</v>
      </c>
      <c r="E298" s="56">
        <v>0</v>
      </c>
      <c r="F298" s="56">
        <f t="shared" si="49"/>
        <v>3929751600</v>
      </c>
      <c r="G298" s="56">
        <f t="shared" si="48"/>
        <v>1061033</v>
      </c>
      <c r="H298" s="57">
        <v>2479032600</v>
      </c>
      <c r="I298" s="57">
        <v>5838000000</v>
      </c>
      <c r="J298" s="57">
        <f t="shared" si="46"/>
        <v>8317032600</v>
      </c>
      <c r="K298" s="57"/>
      <c r="L298" s="57">
        <v>948850000</v>
      </c>
      <c r="M298" s="57"/>
      <c r="N298" s="58">
        <f t="shared" si="42"/>
        <v>948850000</v>
      </c>
      <c r="O298" s="57">
        <v>2104000</v>
      </c>
      <c r="P298" s="57"/>
      <c r="Q298" s="58">
        <f t="shared" si="44"/>
        <v>2104000</v>
      </c>
      <c r="R298" s="57">
        <v>19117500</v>
      </c>
      <c r="S298" s="57"/>
      <c r="T298" s="57"/>
      <c r="U298" s="57"/>
      <c r="V298" s="57"/>
      <c r="W298" s="57">
        <v>8042647700</v>
      </c>
      <c r="X298" s="57"/>
      <c r="Y298" s="57"/>
      <c r="Z298" s="57"/>
      <c r="AA298" s="57"/>
      <c r="AB298" s="57"/>
      <c r="AC298" s="57"/>
      <c r="AD298" s="57"/>
      <c r="AE298" s="57"/>
      <c r="AF298" s="57"/>
      <c r="AG298" s="57"/>
      <c r="AH298" s="57"/>
      <c r="AI298" s="57"/>
      <c r="AJ298" s="31">
        <f t="shared" si="51"/>
        <v>2872396</v>
      </c>
      <c r="AK298" s="59">
        <v>217482</v>
      </c>
      <c r="AL298" s="34">
        <v>44111</v>
      </c>
      <c r="AM298" s="34">
        <v>245</v>
      </c>
      <c r="AN298" s="34">
        <f>1028*2550</f>
        <v>2621400</v>
      </c>
      <c r="AO298" s="60">
        <f t="shared" si="52"/>
        <v>661500</v>
      </c>
      <c r="AP298" s="59">
        <f>90200+3738575+1448100+1656410</f>
        <v>6933285</v>
      </c>
      <c r="AQ298" s="55">
        <v>21016981419772</v>
      </c>
      <c r="AR298" s="55">
        <v>99554693000</v>
      </c>
      <c r="AS298" s="55">
        <v>26077751800</v>
      </c>
      <c r="AT298" s="55">
        <v>30007503400</v>
      </c>
      <c r="AU298" s="55">
        <v>14367096</v>
      </c>
      <c r="AV298" s="99">
        <v>1667589674</v>
      </c>
    </row>
    <row r="299" spans="1:48" ht="15.75" thickBot="1">
      <c r="A299" s="28">
        <v>44112</v>
      </c>
      <c r="B299" s="56">
        <v>9641766200</v>
      </c>
      <c r="C299" s="56">
        <v>0</v>
      </c>
      <c r="D299" s="56">
        <v>417293000</v>
      </c>
      <c r="E299" s="56">
        <v>0</v>
      </c>
      <c r="F299" s="56">
        <f t="shared" si="49"/>
        <v>10059059200</v>
      </c>
      <c r="G299" s="56">
        <f t="shared" si="48"/>
        <v>2715946</v>
      </c>
      <c r="H299" s="57">
        <v>4029826200</v>
      </c>
      <c r="I299" s="57">
        <f>581600000+1458000000</f>
        <v>2039600000</v>
      </c>
      <c r="J299" s="57">
        <f t="shared" si="46"/>
        <v>6069426200</v>
      </c>
      <c r="K299" s="57"/>
      <c r="L299" s="57">
        <v>2260882000</v>
      </c>
      <c r="M299" s="57"/>
      <c r="N299" s="58">
        <f t="shared" si="42"/>
        <v>2260882000</v>
      </c>
      <c r="O299" s="57">
        <v>515709100</v>
      </c>
      <c r="P299" s="57"/>
      <c r="Q299" s="58">
        <f t="shared" si="44"/>
        <v>515709100</v>
      </c>
      <c r="R299" s="57">
        <v>5321800</v>
      </c>
      <c r="S299" s="57"/>
      <c r="T299" s="57"/>
      <c r="U299" s="57">
        <v>32525100</v>
      </c>
      <c r="V299" s="57">
        <v>1076000000</v>
      </c>
      <c r="W299" s="57">
        <f>U299+V299</f>
        <v>1108525100</v>
      </c>
      <c r="X299" s="57"/>
      <c r="Y299" s="57"/>
      <c r="Z299" s="57"/>
      <c r="AA299" s="57"/>
      <c r="AB299" s="57"/>
      <c r="AC299" s="57"/>
      <c r="AD299" s="57"/>
      <c r="AE299" s="57"/>
      <c r="AF299" s="57"/>
      <c r="AG299" s="57"/>
      <c r="AH299" s="57"/>
      <c r="AI299" s="57"/>
      <c r="AJ299" s="31">
        <f t="shared" si="51"/>
        <v>1302714</v>
      </c>
      <c r="AK299" s="59">
        <v>148752</v>
      </c>
      <c r="AL299" s="34">
        <v>44112</v>
      </c>
      <c r="AM299" s="34">
        <v>390</v>
      </c>
      <c r="AN299" s="34">
        <f>1110*2550</f>
        <v>2830500</v>
      </c>
      <c r="AO299" s="60">
        <f t="shared" si="52"/>
        <v>1053000</v>
      </c>
      <c r="AP299" s="59"/>
      <c r="AQ299" s="55">
        <v>18813963092600</v>
      </c>
      <c r="AR299" s="55">
        <v>48870247000</v>
      </c>
      <c r="AS299" s="55">
        <v>11617464200</v>
      </c>
      <c r="AT299" s="55">
        <v>21676523400</v>
      </c>
      <c r="AU299" s="55">
        <v>8050912</v>
      </c>
      <c r="AV299" s="99">
        <v>1675640586</v>
      </c>
    </row>
    <row r="300" spans="1:48" ht="15">
      <c r="A300" s="35">
        <v>44113</v>
      </c>
      <c r="B300" s="61">
        <v>8486182600</v>
      </c>
      <c r="C300" s="61">
        <v>850111000</v>
      </c>
      <c r="D300" s="61">
        <v>0</v>
      </c>
      <c r="E300" s="61">
        <v>0</v>
      </c>
      <c r="F300" s="61">
        <f t="shared" si="49"/>
        <v>9336293600</v>
      </c>
      <c r="G300" s="61">
        <f t="shared" si="48"/>
        <v>2520799</v>
      </c>
      <c r="H300" s="62">
        <v>2120677500</v>
      </c>
      <c r="I300" s="62"/>
      <c r="J300" s="62">
        <f t="shared" si="46"/>
        <v>2120677500</v>
      </c>
      <c r="K300" s="62"/>
      <c r="L300" s="62">
        <v>476464000</v>
      </c>
      <c r="M300" s="62"/>
      <c r="N300" s="62">
        <f t="shared" si="42"/>
        <v>476464000</v>
      </c>
      <c r="O300" s="62">
        <v>2078000</v>
      </c>
      <c r="P300" s="62"/>
      <c r="Q300" s="62">
        <f t="shared" si="44"/>
        <v>2078000</v>
      </c>
      <c r="R300" s="62">
        <v>17304300</v>
      </c>
      <c r="S300" s="62"/>
      <c r="T300" s="62"/>
      <c r="U300" s="62">
        <v>2152462000</v>
      </c>
      <c r="V300" s="62"/>
      <c r="W300" s="62">
        <f>U300+V300</f>
        <v>2152462000</v>
      </c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  <c r="AI300" s="62"/>
      <c r="AJ300" s="37">
        <f t="shared" si="51"/>
        <v>671274</v>
      </c>
      <c r="AK300" s="63">
        <f>405340*0.3</f>
        <v>121602</v>
      </c>
      <c r="AL300" s="39">
        <v>44113</v>
      </c>
      <c r="AM300" s="39">
        <v>136</v>
      </c>
      <c r="AN300" s="39">
        <f>1024*2550*3</f>
        <v>7833600</v>
      </c>
      <c r="AO300" s="64">
        <f t="shared" si="52"/>
        <v>367200</v>
      </c>
      <c r="AP300" s="63">
        <v>700000</v>
      </c>
      <c r="AQ300" s="55">
        <v>17602238311400</v>
      </c>
      <c r="AR300" s="55">
        <v>28420625200</v>
      </c>
      <c r="AS300" s="55">
        <v>4768985800</v>
      </c>
      <c r="AT300" s="55">
        <v>14105279400</v>
      </c>
      <c r="AU300" s="55">
        <v>12214475</v>
      </c>
      <c r="AV300" s="99">
        <v>1687855061</v>
      </c>
    </row>
    <row r="301" spans="1:48" s="71" customFormat="1" ht="15">
      <c r="A301" s="28">
        <v>44116</v>
      </c>
      <c r="B301" s="56">
        <v>3018352200</v>
      </c>
      <c r="C301" s="56">
        <v>730718000</v>
      </c>
      <c r="D301" s="56">
        <v>0</v>
      </c>
      <c r="E301" s="56">
        <v>0</v>
      </c>
      <c r="F301" s="56">
        <f t="shared" si="49"/>
        <v>3749070200</v>
      </c>
      <c r="G301" s="56">
        <f t="shared" si="48"/>
        <v>1012249</v>
      </c>
      <c r="H301" s="57">
        <v>4401254500</v>
      </c>
      <c r="I301" s="57">
        <v>2948000000</v>
      </c>
      <c r="J301" s="57">
        <f t="shared" si="46"/>
        <v>7349254500</v>
      </c>
      <c r="K301" s="57"/>
      <c r="L301" s="57">
        <v>2080240000</v>
      </c>
      <c r="M301" s="57"/>
      <c r="N301" s="58">
        <f t="shared" si="42"/>
        <v>2080240000</v>
      </c>
      <c r="O301" s="57">
        <v>1258712700</v>
      </c>
      <c r="P301" s="57"/>
      <c r="Q301" s="58">
        <f t="shared" si="44"/>
        <v>1258712700</v>
      </c>
      <c r="R301" s="57">
        <v>63462200</v>
      </c>
      <c r="S301" s="57"/>
      <c r="T301" s="57"/>
      <c r="U301" s="57">
        <v>4986400</v>
      </c>
      <c r="V301" s="57"/>
      <c r="W301" s="57">
        <f t="shared" ref="W301:W309" si="53">U301+V301</f>
        <v>4986400</v>
      </c>
      <c r="X301" s="57"/>
      <c r="Y301" s="57"/>
      <c r="Z301" s="57"/>
      <c r="AA301" s="57"/>
      <c r="AB301" s="57"/>
      <c r="AC301" s="57"/>
      <c r="AD301" s="57"/>
      <c r="AE301" s="57"/>
      <c r="AF301" s="57"/>
      <c r="AG301" s="57"/>
      <c r="AH301" s="57"/>
      <c r="AI301" s="57"/>
      <c r="AJ301" s="31">
        <f t="shared" si="51"/>
        <v>1378903</v>
      </c>
      <c r="AK301" s="59">
        <f>204810*0.3</f>
        <v>61443</v>
      </c>
      <c r="AL301" s="34">
        <v>44116</v>
      </c>
      <c r="AM301" s="34">
        <v>109</v>
      </c>
      <c r="AN301" s="34">
        <f>1091*2550</f>
        <v>2782050</v>
      </c>
      <c r="AO301" s="60">
        <f t="shared" si="52"/>
        <v>294300</v>
      </c>
      <c r="AP301" s="33">
        <v>600000</v>
      </c>
      <c r="AQ301" s="55">
        <v>20969691224400</v>
      </c>
      <c r="AR301" s="55">
        <v>49126643040</v>
      </c>
      <c r="AS301" s="55">
        <v>13704655800</v>
      </c>
      <c r="AT301" s="55">
        <v>17453726000</v>
      </c>
      <c r="AU301" s="55">
        <v>6128945</v>
      </c>
      <c r="AV301" s="99">
        <v>1693984006</v>
      </c>
    </row>
    <row r="302" spans="1:48" ht="15">
      <c r="A302" s="28">
        <v>44117</v>
      </c>
      <c r="B302" s="56">
        <v>10158230500</v>
      </c>
      <c r="C302" s="56">
        <v>0</v>
      </c>
      <c r="D302" s="56">
        <v>0</v>
      </c>
      <c r="E302" s="56">
        <v>0</v>
      </c>
      <c r="F302" s="56">
        <f t="shared" si="49"/>
        <v>10158230500</v>
      </c>
      <c r="G302" s="56">
        <f t="shared" si="48"/>
        <v>2742722</v>
      </c>
      <c r="H302" s="57"/>
      <c r="I302" s="57">
        <v>441000000</v>
      </c>
      <c r="J302" s="57">
        <f t="shared" si="46"/>
        <v>441000000</v>
      </c>
      <c r="K302" s="57"/>
      <c r="L302" s="57">
        <v>2441710000</v>
      </c>
      <c r="M302" s="57">
        <v>1349000000</v>
      </c>
      <c r="N302" s="58">
        <f t="shared" si="42"/>
        <v>3790710000</v>
      </c>
      <c r="O302" s="57"/>
      <c r="P302" s="57"/>
      <c r="Q302" s="58">
        <f t="shared" si="44"/>
        <v>0</v>
      </c>
      <c r="R302" s="57">
        <v>114400</v>
      </c>
      <c r="S302" s="57"/>
      <c r="T302" s="57"/>
      <c r="U302" s="57">
        <v>4765900</v>
      </c>
      <c r="V302" s="57">
        <v>434400000</v>
      </c>
      <c r="W302" s="57">
        <f t="shared" si="53"/>
        <v>439165900</v>
      </c>
      <c r="X302" s="57"/>
      <c r="Y302" s="57"/>
      <c r="Z302" s="57"/>
      <c r="AA302" s="57"/>
      <c r="AB302" s="57"/>
      <c r="AC302" s="57"/>
      <c r="AD302" s="57"/>
      <c r="AE302" s="57"/>
      <c r="AF302" s="57"/>
      <c r="AG302" s="57"/>
      <c r="AH302" s="57"/>
      <c r="AI302" s="57"/>
      <c r="AJ302" s="31">
        <f t="shared" si="51"/>
        <v>664975</v>
      </c>
      <c r="AK302" s="59">
        <f>202400*0.3</f>
        <v>60720</v>
      </c>
      <c r="AL302" s="34">
        <v>44117</v>
      </c>
      <c r="AM302" s="34">
        <v>167</v>
      </c>
      <c r="AN302" s="34">
        <f>1128*2550</f>
        <v>2876400</v>
      </c>
      <c r="AO302" s="60">
        <f t="shared" si="52"/>
        <v>450900</v>
      </c>
      <c r="AP302" s="33"/>
      <c r="AQ302" s="55">
        <v>14774460283682</v>
      </c>
      <c r="AR302" s="55">
        <v>17892289600</v>
      </c>
      <c r="AS302" s="55">
        <v>5546390300</v>
      </c>
      <c r="AT302" s="55">
        <v>15704620800</v>
      </c>
      <c r="AU302" s="55">
        <v>6795717</v>
      </c>
      <c r="AV302" s="99">
        <v>1700779723</v>
      </c>
    </row>
    <row r="303" spans="1:48" ht="15">
      <c r="A303" s="28">
        <v>44118</v>
      </c>
      <c r="B303" s="56">
        <v>2057264800</v>
      </c>
      <c r="C303" s="56">
        <v>0</v>
      </c>
      <c r="D303" s="56">
        <v>0</v>
      </c>
      <c r="E303" s="56">
        <v>0</v>
      </c>
      <c r="F303" s="56">
        <f t="shared" si="49"/>
        <v>2057264800</v>
      </c>
      <c r="G303" s="56">
        <f t="shared" si="48"/>
        <v>555461</v>
      </c>
      <c r="H303" s="57">
        <v>6219996000</v>
      </c>
      <c r="I303" s="57">
        <v>5940000000</v>
      </c>
      <c r="J303" s="57">
        <f t="shared" si="46"/>
        <v>12159996000</v>
      </c>
      <c r="K303" s="31"/>
      <c r="L303" s="57">
        <v>960750000</v>
      </c>
      <c r="M303" s="31"/>
      <c r="N303" s="58">
        <f t="shared" si="42"/>
        <v>960750000</v>
      </c>
      <c r="O303" s="57">
        <v>1012829500</v>
      </c>
      <c r="P303" s="31"/>
      <c r="Q303" s="58">
        <f t="shared" si="44"/>
        <v>1012829500</v>
      </c>
      <c r="R303" s="57">
        <v>12703700</v>
      </c>
      <c r="S303" s="57"/>
      <c r="T303" s="57"/>
      <c r="U303" s="57">
        <v>37226000</v>
      </c>
      <c r="V303" s="31"/>
      <c r="W303" s="57">
        <f t="shared" si="53"/>
        <v>37226000</v>
      </c>
      <c r="X303" s="57"/>
      <c r="Y303" s="57"/>
      <c r="Z303" s="57"/>
      <c r="AA303" s="57"/>
      <c r="AB303" s="57"/>
      <c r="AC303" s="57"/>
      <c r="AD303" s="57"/>
      <c r="AE303" s="57"/>
      <c r="AF303" s="57"/>
      <c r="AG303" s="57"/>
      <c r="AH303" s="57"/>
      <c r="AI303" s="57"/>
      <c r="AJ303" s="31">
        <f t="shared" si="51"/>
        <v>1963094</v>
      </c>
      <c r="AK303" s="59">
        <f>563170*0.3</f>
        <v>168951</v>
      </c>
      <c r="AL303" s="34">
        <v>44118</v>
      </c>
      <c r="AM303" s="34">
        <v>184</v>
      </c>
      <c r="AN303" s="34">
        <f>1120*2550</f>
        <v>2856000</v>
      </c>
      <c r="AO303" s="60">
        <f t="shared" si="52"/>
        <v>496800</v>
      </c>
      <c r="AP303" s="33"/>
      <c r="AQ303" s="55">
        <v>31784519920512</v>
      </c>
      <c r="AR303" s="55">
        <v>76276929000</v>
      </c>
      <c r="AS303" s="55">
        <v>20123505200</v>
      </c>
      <c r="AT303" s="55">
        <v>22180770000</v>
      </c>
      <c r="AU303" s="55">
        <v>6040306</v>
      </c>
      <c r="AV303" s="99">
        <v>1706820029</v>
      </c>
    </row>
    <row r="304" spans="1:48" ht="15.75" thickBot="1">
      <c r="A304" s="28">
        <v>44119</v>
      </c>
      <c r="B304" s="56">
        <v>4377353700</v>
      </c>
      <c r="C304" s="56"/>
      <c r="D304" s="56"/>
      <c r="E304" s="56"/>
      <c r="F304" s="56">
        <f t="shared" si="49"/>
        <v>4377353700</v>
      </c>
      <c r="G304" s="56">
        <f t="shared" si="48"/>
        <v>1181885</v>
      </c>
      <c r="H304" s="31">
        <f>18073261300-I304</f>
        <v>6021261300</v>
      </c>
      <c r="I304" s="31">
        <v>12052000000</v>
      </c>
      <c r="J304" s="57">
        <f>H304+I304</f>
        <v>18073261300</v>
      </c>
      <c r="K304" s="31"/>
      <c r="L304" s="31"/>
      <c r="M304" s="31"/>
      <c r="N304" s="58">
        <f t="shared" si="42"/>
        <v>0</v>
      </c>
      <c r="O304" s="31"/>
      <c r="P304" s="31"/>
      <c r="Q304" s="58">
        <f t="shared" si="44"/>
        <v>0</v>
      </c>
      <c r="R304" s="57">
        <v>1298100</v>
      </c>
      <c r="S304" s="57"/>
      <c r="T304" s="57"/>
      <c r="U304" s="57">
        <v>531487000</v>
      </c>
      <c r="V304" s="31"/>
      <c r="W304" s="57">
        <f t="shared" si="53"/>
        <v>531487000</v>
      </c>
      <c r="X304" s="57"/>
      <c r="Y304" s="57"/>
      <c r="Z304" s="57"/>
      <c r="AA304" s="57"/>
      <c r="AB304" s="57"/>
      <c r="AC304" s="57"/>
      <c r="AD304" s="57"/>
      <c r="AE304" s="57"/>
      <c r="AF304" s="57"/>
      <c r="AG304" s="57"/>
      <c r="AH304" s="57"/>
      <c r="AI304" s="57"/>
      <c r="AJ304" s="31">
        <f t="shared" si="51"/>
        <v>2915558</v>
      </c>
      <c r="AK304" s="59">
        <v>231624</v>
      </c>
      <c r="AL304" s="34">
        <v>44119</v>
      </c>
      <c r="AM304" s="34">
        <v>186</v>
      </c>
      <c r="AN304" s="34">
        <f>(240+864)*2550</f>
        <v>2815200</v>
      </c>
      <c r="AO304" s="60">
        <f t="shared" si="52"/>
        <v>502200</v>
      </c>
      <c r="AP304" s="33"/>
      <c r="AQ304" s="55">
        <v>22696089657800</v>
      </c>
      <c r="AR304" s="55">
        <v>59642843800</v>
      </c>
      <c r="AS304" s="55">
        <v>30658046400</v>
      </c>
      <c r="AT304" s="55">
        <v>35035400100</v>
      </c>
      <c r="AU304" s="55">
        <v>7646467</v>
      </c>
      <c r="AV304" s="99">
        <v>1714466496</v>
      </c>
    </row>
    <row r="305" spans="1:48" ht="15">
      <c r="A305" s="35">
        <v>44120</v>
      </c>
      <c r="B305" s="61">
        <v>83796517700</v>
      </c>
      <c r="C305" s="61">
        <v>0</v>
      </c>
      <c r="D305" s="61">
        <v>0</v>
      </c>
      <c r="E305" s="61">
        <v>0</v>
      </c>
      <c r="F305" s="61">
        <f t="shared" si="49"/>
        <v>83796517700</v>
      </c>
      <c r="G305" s="61">
        <f t="shared" si="48"/>
        <v>22625060</v>
      </c>
      <c r="H305" s="62">
        <v>4578920600</v>
      </c>
      <c r="I305" s="62">
        <v>10578200000</v>
      </c>
      <c r="J305" s="62">
        <f>H305+I305</f>
        <v>15157120600</v>
      </c>
      <c r="K305" s="62"/>
      <c r="L305" s="62">
        <v>6304144500</v>
      </c>
      <c r="M305" s="37"/>
      <c r="N305" s="62">
        <f t="shared" si="42"/>
        <v>6304144500</v>
      </c>
      <c r="O305" s="62">
        <v>1061046600</v>
      </c>
      <c r="P305" s="62"/>
      <c r="Q305" s="62">
        <f t="shared" si="44"/>
        <v>1061046600</v>
      </c>
      <c r="R305" s="62"/>
      <c r="S305" s="62"/>
      <c r="T305" s="62"/>
      <c r="U305" s="62">
        <v>1499667400</v>
      </c>
      <c r="V305" s="62"/>
      <c r="W305" s="62">
        <f t="shared" si="53"/>
        <v>1499667400</v>
      </c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  <c r="AI305" s="62"/>
      <c r="AJ305" s="37">
        <f t="shared" si="51"/>
        <v>3463980</v>
      </c>
      <c r="AK305" s="63">
        <f>1117290*0.3</f>
        <v>335187</v>
      </c>
      <c r="AL305" s="39">
        <v>44120</v>
      </c>
      <c r="AM305" s="39">
        <v>582</v>
      </c>
      <c r="AN305" s="39">
        <f>822*2550*3</f>
        <v>6288300</v>
      </c>
      <c r="AO305" s="64">
        <f t="shared" si="52"/>
        <v>1571400</v>
      </c>
      <c r="AP305" s="38"/>
      <c r="AQ305" s="55">
        <v>20967497455200</v>
      </c>
      <c r="AR305" s="55">
        <v>116121679200</v>
      </c>
      <c r="AS305" s="55">
        <v>34600179100</v>
      </c>
      <c r="AT305" s="55">
        <v>118396696800</v>
      </c>
      <c r="AU305" s="55">
        <v>34283927</v>
      </c>
      <c r="AV305" s="99">
        <v>1748750423</v>
      </c>
    </row>
    <row r="306" spans="1:48" ht="15">
      <c r="A306" s="28">
        <v>44123</v>
      </c>
      <c r="B306" s="56">
        <v>2675876300</v>
      </c>
      <c r="C306" s="56">
        <v>901726500</v>
      </c>
      <c r="D306" s="56">
        <v>0</v>
      </c>
      <c r="E306" s="56">
        <v>0</v>
      </c>
      <c r="F306" s="56">
        <f t="shared" si="49"/>
        <v>3577602800</v>
      </c>
      <c r="G306" s="56">
        <f t="shared" si="48"/>
        <v>965953</v>
      </c>
      <c r="H306" s="57">
        <v>3925177800</v>
      </c>
      <c r="I306" s="57"/>
      <c r="J306" s="57">
        <f t="shared" ref="J306:J309" si="54">H306+I306</f>
        <v>3925177800</v>
      </c>
      <c r="K306" s="57"/>
      <c r="L306" s="57">
        <v>889710000</v>
      </c>
      <c r="M306" s="57"/>
      <c r="N306" s="58">
        <f t="shared" si="42"/>
        <v>889710000</v>
      </c>
      <c r="O306" s="57"/>
      <c r="P306" s="57"/>
      <c r="Q306" s="58">
        <f t="shared" si="44"/>
        <v>0</v>
      </c>
      <c r="R306" s="57">
        <v>12120200</v>
      </c>
      <c r="S306" s="57"/>
      <c r="T306" s="57"/>
      <c r="U306" s="57">
        <v>3345554200</v>
      </c>
      <c r="V306" s="57"/>
      <c r="W306" s="57">
        <f t="shared" si="53"/>
        <v>3345554200</v>
      </c>
      <c r="X306" s="57"/>
      <c r="Y306" s="57"/>
      <c r="Z306" s="57"/>
      <c r="AA306" s="57"/>
      <c r="AB306" s="57"/>
      <c r="AC306" s="57"/>
      <c r="AD306" s="57"/>
      <c r="AE306" s="57"/>
      <c r="AF306" s="57"/>
      <c r="AG306" s="57"/>
      <c r="AH306" s="57"/>
      <c r="AI306" s="57"/>
      <c r="AJ306" s="31">
        <f t="shared" si="51"/>
        <v>1124389</v>
      </c>
      <c r="AK306" s="59">
        <f>304200*0.3</f>
        <v>91260</v>
      </c>
      <c r="AL306" s="34">
        <v>44123</v>
      </c>
      <c r="AM306" s="34">
        <v>143</v>
      </c>
      <c r="AN306" s="34">
        <f>865*2550</f>
        <v>2205750</v>
      </c>
      <c r="AO306" s="60">
        <f t="shared" si="52"/>
        <v>386100</v>
      </c>
      <c r="AP306" s="33">
        <v>700000</v>
      </c>
      <c r="AQ306" s="55">
        <v>18120800251300</v>
      </c>
      <c r="AR306" s="55">
        <v>58857096600</v>
      </c>
      <c r="AS306" s="55">
        <v>8172562200</v>
      </c>
      <c r="AT306" s="55">
        <v>11750165000</v>
      </c>
      <c r="AU306" s="55">
        <v>5473452</v>
      </c>
      <c r="AV306" s="99">
        <v>1754223875</v>
      </c>
    </row>
    <row r="307" spans="1:48" ht="15">
      <c r="A307" s="28">
        <v>44124</v>
      </c>
      <c r="B307" s="56">
        <v>20236864000</v>
      </c>
      <c r="C307" s="56">
        <v>1417850000</v>
      </c>
      <c r="D307" s="56">
        <v>0</v>
      </c>
      <c r="E307" s="56">
        <v>0</v>
      </c>
      <c r="F307" s="56">
        <f t="shared" si="49"/>
        <v>21654714000</v>
      </c>
      <c r="G307" s="56">
        <f t="shared" si="48"/>
        <v>5846773</v>
      </c>
      <c r="H307" s="57">
        <v>420018300</v>
      </c>
      <c r="I307" s="57">
        <v>1068984000</v>
      </c>
      <c r="J307" s="57">
        <f t="shared" si="54"/>
        <v>1489002300</v>
      </c>
      <c r="K307" s="57"/>
      <c r="L307" s="57">
        <v>5866408500</v>
      </c>
      <c r="M307" s="57"/>
      <c r="N307" s="58">
        <f t="shared" si="42"/>
        <v>5866408500</v>
      </c>
      <c r="O307" s="57"/>
      <c r="P307" s="57"/>
      <c r="Q307" s="58">
        <f t="shared" si="44"/>
        <v>0</v>
      </c>
      <c r="R307" s="57">
        <v>28174400</v>
      </c>
      <c r="S307" s="57"/>
      <c r="T307" s="57"/>
      <c r="U307" s="57">
        <v>8943000000</v>
      </c>
      <c r="V307" s="57"/>
      <c r="W307" s="57">
        <f t="shared" si="53"/>
        <v>8943000000</v>
      </c>
      <c r="X307" s="57"/>
      <c r="Y307" s="57"/>
      <c r="Z307" s="57"/>
      <c r="AA307" s="57"/>
      <c r="AB307" s="57"/>
      <c r="AC307" s="57"/>
      <c r="AD307" s="57"/>
      <c r="AE307" s="57"/>
      <c r="AF307" s="57"/>
      <c r="AG307" s="57"/>
      <c r="AH307" s="57"/>
      <c r="AI307" s="57"/>
      <c r="AJ307" s="31">
        <f t="shared" si="51"/>
        <v>2486163</v>
      </c>
      <c r="AK307" s="59">
        <f>4310*0.3</f>
        <v>1293</v>
      </c>
      <c r="AL307" s="34">
        <v>44124</v>
      </c>
      <c r="AM307" s="34">
        <v>417</v>
      </c>
      <c r="AN307" s="34">
        <f>1282*2550</f>
        <v>3269100</v>
      </c>
      <c r="AO307" s="60">
        <f t="shared" si="52"/>
        <v>1125900</v>
      </c>
      <c r="AP307" s="59">
        <v>400000</v>
      </c>
      <c r="AQ307" s="55">
        <v>20886782216390</v>
      </c>
      <c r="AR307" s="55">
        <v>128546499560</v>
      </c>
      <c r="AS307" s="55">
        <v>18969003200</v>
      </c>
      <c r="AT307" s="55">
        <v>40623717200</v>
      </c>
      <c r="AU307" s="55">
        <v>13129229</v>
      </c>
      <c r="AV307" s="99">
        <v>1767353104</v>
      </c>
    </row>
    <row r="308" spans="1:48" ht="15">
      <c r="A308" s="28">
        <v>44125</v>
      </c>
      <c r="B308" s="56">
        <v>80174500000</v>
      </c>
      <c r="C308" s="56">
        <v>0</v>
      </c>
      <c r="D308" s="56">
        <v>0</v>
      </c>
      <c r="E308" s="56">
        <v>0</v>
      </c>
      <c r="F308" s="56">
        <f t="shared" si="49"/>
        <v>80174500000</v>
      </c>
      <c r="G308" s="56">
        <f t="shared" si="48"/>
        <v>21647115</v>
      </c>
      <c r="H308" s="57">
        <v>4765049800</v>
      </c>
      <c r="I308" s="57"/>
      <c r="J308" s="57">
        <f t="shared" si="54"/>
        <v>4765049800</v>
      </c>
      <c r="K308" s="57"/>
      <c r="L308" s="57">
        <v>25591500</v>
      </c>
      <c r="M308" s="57"/>
      <c r="N308" s="58">
        <f t="shared" si="42"/>
        <v>25591500</v>
      </c>
      <c r="O308" s="57"/>
      <c r="P308" s="57"/>
      <c r="Q308" s="58">
        <f t="shared" si="44"/>
        <v>0</v>
      </c>
      <c r="R308" s="57">
        <v>1410200</v>
      </c>
      <c r="S308" s="57"/>
      <c r="T308" s="57"/>
      <c r="U308" s="57">
        <v>4413160800</v>
      </c>
      <c r="V308" s="57"/>
      <c r="W308" s="57">
        <f t="shared" si="53"/>
        <v>4413160800</v>
      </c>
      <c r="X308" s="57"/>
      <c r="Y308" s="57"/>
      <c r="Z308" s="57"/>
      <c r="AA308" s="57"/>
      <c r="AB308" s="57"/>
      <c r="AC308" s="57"/>
      <c r="AD308" s="57"/>
      <c r="AE308" s="57"/>
      <c r="AF308" s="57"/>
      <c r="AG308" s="57"/>
      <c r="AH308" s="57"/>
      <c r="AI308" s="57"/>
      <c r="AJ308" s="31">
        <f t="shared" si="51"/>
        <v>1312012</v>
      </c>
      <c r="AK308" s="59">
        <f>300000+305260*0.3</f>
        <v>391578</v>
      </c>
      <c r="AL308" s="34">
        <v>44125</v>
      </c>
      <c r="AM308" s="34">
        <v>53</v>
      </c>
      <c r="AN308" s="34">
        <f>1283*2550</f>
        <v>3271650</v>
      </c>
      <c r="AO308" s="60">
        <f t="shared" si="52"/>
        <v>143100</v>
      </c>
      <c r="AP308" s="33"/>
      <c r="AQ308" s="55">
        <v>19261252950600</v>
      </c>
      <c r="AR308" s="55">
        <v>34981022800</v>
      </c>
      <c r="AS308" s="55">
        <v>9205212300</v>
      </c>
      <c r="AT308" s="55">
        <v>89379712300</v>
      </c>
      <c r="AU308" s="55">
        <v>26765455</v>
      </c>
      <c r="AV308" s="99">
        <v>1794118559</v>
      </c>
    </row>
    <row r="309" spans="1:48" ht="15.75" thickBot="1">
      <c r="A309" s="28">
        <v>44126</v>
      </c>
      <c r="B309" s="56">
        <v>0</v>
      </c>
      <c r="C309" s="56">
        <v>0</v>
      </c>
      <c r="D309" s="56">
        <v>904319500</v>
      </c>
      <c r="E309" s="56">
        <v>0</v>
      </c>
      <c r="F309" s="56">
        <f t="shared" si="49"/>
        <v>904319500</v>
      </c>
      <c r="G309" s="56">
        <f t="shared" si="48"/>
        <v>244166</v>
      </c>
      <c r="H309" s="57">
        <v>112154800</v>
      </c>
      <c r="I309" s="57">
        <v>3033000000</v>
      </c>
      <c r="J309" s="57">
        <f t="shared" si="54"/>
        <v>3145154800</v>
      </c>
      <c r="K309" s="57"/>
      <c r="L309" s="57">
        <v>760200000</v>
      </c>
      <c r="M309" s="57"/>
      <c r="N309" s="58">
        <f t="shared" si="42"/>
        <v>760200000</v>
      </c>
      <c r="O309" s="57"/>
      <c r="P309" s="57"/>
      <c r="Q309" s="58">
        <f t="shared" si="44"/>
        <v>0</v>
      </c>
      <c r="R309" s="57">
        <v>2924635100</v>
      </c>
      <c r="S309" s="57"/>
      <c r="T309" s="57"/>
      <c r="U309" s="57">
        <v>3719270000</v>
      </c>
      <c r="V309" s="57"/>
      <c r="W309" s="57">
        <f t="shared" si="53"/>
        <v>3719270000</v>
      </c>
      <c r="X309" s="57"/>
      <c r="Y309" s="57"/>
      <c r="Z309" s="57"/>
      <c r="AA309" s="57"/>
      <c r="AB309" s="57"/>
      <c r="AC309" s="57"/>
      <c r="AD309" s="57"/>
      <c r="AE309" s="57"/>
      <c r="AF309" s="57"/>
      <c r="AG309" s="57"/>
      <c r="AH309" s="57"/>
      <c r="AI309" s="57"/>
      <c r="AJ309" s="31">
        <f t="shared" si="51"/>
        <v>1836057</v>
      </c>
      <c r="AK309" s="33">
        <f>440*0.3</f>
        <v>132</v>
      </c>
      <c r="AL309" s="34">
        <v>44126</v>
      </c>
      <c r="AM309" s="34">
        <v>171</v>
      </c>
      <c r="AN309" s="34">
        <f>1414*2550</f>
        <v>3605700</v>
      </c>
      <c r="AO309" s="60">
        <f t="shared" si="52"/>
        <v>461700</v>
      </c>
      <c r="AP309" s="33"/>
      <c r="AQ309" s="55">
        <v>16672139089100</v>
      </c>
      <c r="AR309" s="55">
        <v>47790884600</v>
      </c>
      <c r="AS309" s="55">
        <v>13582259900</v>
      </c>
      <c r="AT309" s="55">
        <v>14486579400</v>
      </c>
      <c r="AU309" s="55">
        <v>6147755</v>
      </c>
      <c r="AV309" s="99">
        <v>1800266314</v>
      </c>
    </row>
    <row r="310" spans="1:48" ht="15">
      <c r="A310" s="35">
        <v>44127</v>
      </c>
      <c r="B310" s="61">
        <v>4707890200</v>
      </c>
      <c r="C310" s="61">
        <v>0</v>
      </c>
      <c r="D310" s="61">
        <v>0</v>
      </c>
      <c r="E310" s="61">
        <v>0</v>
      </c>
      <c r="F310" s="61">
        <f t="shared" si="49"/>
        <v>4707890200</v>
      </c>
      <c r="G310" s="61">
        <f t="shared" si="48"/>
        <v>1271130</v>
      </c>
      <c r="H310" s="62">
        <v>5012802500</v>
      </c>
      <c r="I310" s="62">
        <v>6663513400</v>
      </c>
      <c r="J310" s="62">
        <f>H310+I310</f>
        <v>11676315900</v>
      </c>
      <c r="K310" s="62"/>
      <c r="L310" s="62">
        <v>4297429300</v>
      </c>
      <c r="M310" s="62"/>
      <c r="N310" s="62">
        <f t="shared" si="42"/>
        <v>4297429300</v>
      </c>
      <c r="O310" s="62"/>
      <c r="P310" s="62"/>
      <c r="Q310" s="62">
        <f t="shared" si="44"/>
        <v>0</v>
      </c>
      <c r="R310" s="62">
        <v>1551400</v>
      </c>
      <c r="S310" s="62"/>
      <c r="T310" s="62"/>
      <c r="U310" s="62">
        <v>2295977400</v>
      </c>
      <c r="V310" s="62"/>
      <c r="W310" s="62">
        <f>U310+V310</f>
        <v>2295977400</v>
      </c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  <c r="AI310" s="62"/>
      <c r="AJ310" s="37">
        <f t="shared" si="51"/>
        <v>2618493</v>
      </c>
      <c r="AK310" s="63">
        <f>330*0.3</f>
        <v>99</v>
      </c>
      <c r="AL310" s="39">
        <v>44127</v>
      </c>
      <c r="AM310" s="39">
        <v>259</v>
      </c>
      <c r="AN310" s="39">
        <f>1661*2550*3</f>
        <v>12706650</v>
      </c>
      <c r="AO310" s="64">
        <f t="shared" si="52"/>
        <v>699300</v>
      </c>
      <c r="AP310" s="38">
        <f>ROUNDUP(0.03%*E310,0)</f>
        <v>0</v>
      </c>
      <c r="AQ310" s="55">
        <v>21327811218200</v>
      </c>
      <c r="AR310" s="55">
        <v>54263797600</v>
      </c>
      <c r="AS310" s="55">
        <v>25400118000</v>
      </c>
      <c r="AT310" s="55">
        <v>30108008200</v>
      </c>
      <c r="AU310" s="55">
        <v>17295672</v>
      </c>
      <c r="AV310" s="99">
        <v>1817561986</v>
      </c>
    </row>
    <row r="311" spans="1:48" ht="15">
      <c r="A311" s="28">
        <v>44130</v>
      </c>
      <c r="B311" s="56">
        <v>8995193000</v>
      </c>
      <c r="C311" s="56">
        <v>0</v>
      </c>
      <c r="D311" s="56">
        <v>896708000</v>
      </c>
      <c r="E311" s="56">
        <v>0</v>
      </c>
      <c r="F311" s="56">
        <f t="shared" si="49"/>
        <v>9891901000</v>
      </c>
      <c r="G311" s="56">
        <f t="shared" si="48"/>
        <v>2670813</v>
      </c>
      <c r="H311" s="57">
        <v>3765428100</v>
      </c>
      <c r="I311" s="57">
        <v>11004000000</v>
      </c>
      <c r="J311" s="58">
        <f>H311+I311</f>
        <v>14769428100</v>
      </c>
      <c r="K311" s="57"/>
      <c r="L311" s="57">
        <v>2712625200</v>
      </c>
      <c r="M311" s="57"/>
      <c r="N311" s="58">
        <f t="shared" si="42"/>
        <v>2712625200</v>
      </c>
      <c r="O311" s="57">
        <v>1142203200</v>
      </c>
      <c r="P311" s="57"/>
      <c r="Q311" s="58">
        <f t="shared" si="44"/>
        <v>1142203200</v>
      </c>
      <c r="R311" s="57">
        <v>26921400</v>
      </c>
      <c r="S311" s="57"/>
      <c r="T311" s="57"/>
      <c r="U311" s="57">
        <v>3136100</v>
      </c>
      <c r="V311" s="57"/>
      <c r="W311" s="58">
        <f t="shared" ref="W311:W314" si="55">U311+V311</f>
        <v>3136100</v>
      </c>
      <c r="X311" s="58"/>
      <c r="Y311" s="58"/>
      <c r="Z311" s="58"/>
      <c r="AA311" s="58"/>
      <c r="AB311" s="58"/>
      <c r="AC311" s="58"/>
      <c r="AD311" s="58"/>
      <c r="AE311" s="58"/>
      <c r="AF311" s="58"/>
      <c r="AG311" s="58"/>
      <c r="AH311" s="58"/>
      <c r="AI311" s="58"/>
      <c r="AJ311" s="32">
        <f t="shared" si="51"/>
        <v>2809118</v>
      </c>
      <c r="AK311" s="59">
        <f>203880*0.3</f>
        <v>61164</v>
      </c>
      <c r="AL311" s="34">
        <v>44130</v>
      </c>
      <c r="AM311" s="34">
        <v>391</v>
      </c>
      <c r="AN311" s="34">
        <f>1772*2550</f>
        <v>4518600</v>
      </c>
      <c r="AO311" s="60">
        <f t="shared" si="52"/>
        <v>1055700</v>
      </c>
      <c r="AP311" s="33">
        <v>100000</v>
      </c>
      <c r="AQ311" s="55">
        <v>19513873941720</v>
      </c>
      <c r="AR311" s="55">
        <v>96635896600</v>
      </c>
      <c r="AS311" s="55">
        <v>24975573200</v>
      </c>
      <c r="AT311" s="55">
        <v>34867474200</v>
      </c>
      <c r="AU311" s="55">
        <v>11215395</v>
      </c>
      <c r="AV311" s="99">
        <v>1828777381</v>
      </c>
    </row>
    <row r="312" spans="1:48" ht="15">
      <c r="A312" s="28">
        <v>44131</v>
      </c>
      <c r="B312" s="56">
        <v>21030906500</v>
      </c>
      <c r="C312" s="56">
        <v>0</v>
      </c>
      <c r="D312" s="56">
        <v>676564000</v>
      </c>
      <c r="E312" s="56">
        <v>0</v>
      </c>
      <c r="F312" s="56">
        <f t="shared" si="49"/>
        <v>21707470500</v>
      </c>
      <c r="G312" s="56">
        <f t="shared" si="48"/>
        <v>5861017</v>
      </c>
      <c r="H312" s="57">
        <v>9032012500</v>
      </c>
      <c r="I312" s="57">
        <v>10258744000</v>
      </c>
      <c r="J312" s="58">
        <f t="shared" ref="J312:J334" si="56">H312+I312</f>
        <v>19290756500</v>
      </c>
      <c r="K312" s="57"/>
      <c r="L312" s="57">
        <v>3482126100</v>
      </c>
      <c r="M312" s="57"/>
      <c r="N312" s="58">
        <f t="shared" si="42"/>
        <v>3482126100</v>
      </c>
      <c r="O312" s="57">
        <v>415072000</v>
      </c>
      <c r="P312" s="57"/>
      <c r="Q312" s="58">
        <f t="shared" si="44"/>
        <v>415072000</v>
      </c>
      <c r="R312" s="57">
        <v>2364400</v>
      </c>
      <c r="S312" s="57"/>
      <c r="T312" s="57"/>
      <c r="U312" s="57">
        <v>19075300</v>
      </c>
      <c r="V312" s="57"/>
      <c r="W312" s="58">
        <f t="shared" si="55"/>
        <v>19075300</v>
      </c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  <c r="AJ312" s="32">
        <f t="shared" si="51"/>
        <v>3246788</v>
      </c>
      <c r="AK312" s="59">
        <f>660030*0.3</f>
        <v>198009</v>
      </c>
      <c r="AL312" s="34">
        <v>44131</v>
      </c>
      <c r="AM312" s="34">
        <v>350</v>
      </c>
      <c r="AN312" s="34">
        <f>1946*2550</f>
        <v>4962300</v>
      </c>
      <c r="AO312" s="60">
        <f t="shared" si="52"/>
        <v>945000</v>
      </c>
      <c r="AP312" s="33">
        <v>100000</v>
      </c>
      <c r="AQ312" s="55">
        <v>19602471430868</v>
      </c>
      <c r="AR312" s="55">
        <v>79844921800</v>
      </c>
      <c r="AS312" s="55">
        <v>33468138300</v>
      </c>
      <c r="AT312" s="55">
        <v>55175608800</v>
      </c>
      <c r="AU312" s="55">
        <v>15313114</v>
      </c>
      <c r="AV312" s="99">
        <v>1844090495</v>
      </c>
    </row>
    <row r="313" spans="1:48" ht="15">
      <c r="A313" s="28">
        <v>44132</v>
      </c>
      <c r="B313" s="56">
        <v>17210202500</v>
      </c>
      <c r="C313" s="56">
        <v>0</v>
      </c>
      <c r="D313" s="56">
        <v>0</v>
      </c>
      <c r="E313" s="56">
        <v>384600000</v>
      </c>
      <c r="F313" s="56">
        <f t="shared" si="49"/>
        <v>17594802500</v>
      </c>
      <c r="G313" s="56">
        <f t="shared" si="48"/>
        <v>4750597</v>
      </c>
      <c r="H313" s="57">
        <v>7607868900</v>
      </c>
      <c r="I313" s="57">
        <v>16718000000</v>
      </c>
      <c r="J313" s="58">
        <f t="shared" si="56"/>
        <v>24325868900</v>
      </c>
      <c r="K313" s="57"/>
      <c r="L313" s="57">
        <v>3270689900</v>
      </c>
      <c r="M313" s="57">
        <v>8296000000</v>
      </c>
      <c r="N313" s="58">
        <f t="shared" si="42"/>
        <v>11566689900</v>
      </c>
      <c r="O313" s="57">
        <v>106500</v>
      </c>
      <c r="P313" s="57"/>
      <c r="Q313" s="58">
        <f t="shared" si="44"/>
        <v>106500</v>
      </c>
      <c r="R313" s="57">
        <v>20115400</v>
      </c>
      <c r="S313" s="57"/>
      <c r="T313" s="57"/>
      <c r="U313" s="57">
        <v>11656000</v>
      </c>
      <c r="V313" s="57"/>
      <c r="W313" s="58">
        <f t="shared" si="55"/>
        <v>11656000</v>
      </c>
      <c r="X313" s="58"/>
      <c r="Y313" s="58"/>
      <c r="Z313" s="58"/>
      <c r="AA313" s="58"/>
      <c r="AB313" s="58"/>
      <c r="AC313" s="58"/>
      <c r="AD313" s="58"/>
      <c r="AE313" s="58"/>
      <c r="AF313" s="58"/>
      <c r="AG313" s="58"/>
      <c r="AH313" s="58"/>
      <c r="AI313" s="58"/>
      <c r="AJ313" s="32">
        <f t="shared" si="51"/>
        <v>5683135</v>
      </c>
      <c r="AK313" s="59">
        <f>300000+320*0.3</f>
        <v>300096</v>
      </c>
      <c r="AL313" s="34">
        <v>44132</v>
      </c>
      <c r="AM313" s="34">
        <v>296</v>
      </c>
      <c r="AN313" s="34">
        <f>2174*2550</f>
        <v>5543700</v>
      </c>
      <c r="AO313" s="60">
        <f t="shared" si="52"/>
        <v>799200</v>
      </c>
      <c r="AP313" s="33"/>
      <c r="AQ313" s="55">
        <v>20889322167990</v>
      </c>
      <c r="AR313" s="55">
        <v>81097217200</v>
      </c>
      <c r="AS313" s="55">
        <v>51147436700</v>
      </c>
      <c r="AT313" s="55">
        <v>68742239200</v>
      </c>
      <c r="AU313" s="55">
        <v>17076728</v>
      </c>
      <c r="AV313" s="99">
        <v>1861167223</v>
      </c>
    </row>
    <row r="314" spans="1:48" ht="15">
      <c r="A314" s="28">
        <v>44133</v>
      </c>
      <c r="B314" s="56">
        <v>18616091900</v>
      </c>
      <c r="C314" s="56">
        <v>1664492500</v>
      </c>
      <c r="D314" s="56">
        <v>317753000</v>
      </c>
      <c r="E314" s="56">
        <v>0</v>
      </c>
      <c r="F314" s="56">
        <f t="shared" si="49"/>
        <v>20598337400</v>
      </c>
      <c r="G314" s="56">
        <f t="shared" si="48"/>
        <v>5561551</v>
      </c>
      <c r="H314" s="57">
        <v>4135593600</v>
      </c>
      <c r="I314" s="57">
        <v>7117780000</v>
      </c>
      <c r="J314" s="58">
        <f t="shared" si="56"/>
        <v>11253373600</v>
      </c>
      <c r="K314" s="57"/>
      <c r="L314" s="57">
        <v>6869600</v>
      </c>
      <c r="M314" s="57"/>
      <c r="N314" s="58">
        <f t="shared" ref="N314:N334" si="57">L314+M314</f>
        <v>6869600</v>
      </c>
      <c r="O314" s="57"/>
      <c r="P314" s="57"/>
      <c r="Q314" s="58">
        <f t="shared" si="44"/>
        <v>0</v>
      </c>
      <c r="R314" s="57">
        <v>26016000</v>
      </c>
      <c r="S314" s="57"/>
      <c r="T314" s="57"/>
      <c r="U314" s="57">
        <v>9754600</v>
      </c>
      <c r="V314" s="57"/>
      <c r="W314" s="58">
        <f t="shared" si="55"/>
        <v>9754600</v>
      </c>
      <c r="X314" s="58"/>
      <c r="Y314" s="58"/>
      <c r="Z314" s="58"/>
      <c r="AA314" s="58"/>
      <c r="AB314" s="58"/>
      <c r="AC314" s="58"/>
      <c r="AD314" s="58"/>
      <c r="AE314" s="58"/>
      <c r="AF314" s="58"/>
      <c r="AG314" s="58"/>
      <c r="AH314" s="58"/>
      <c r="AI314" s="58"/>
      <c r="AJ314" s="32">
        <f t="shared" si="51"/>
        <v>1735025</v>
      </c>
      <c r="AK314" s="59">
        <f>972090*0.3</f>
        <v>291627</v>
      </c>
      <c r="AL314" s="34">
        <v>44133</v>
      </c>
      <c r="AM314" s="34">
        <v>352</v>
      </c>
      <c r="AN314" s="34">
        <f>1988*2550</f>
        <v>5069400</v>
      </c>
      <c r="AO314" s="60">
        <f t="shared" si="52"/>
        <v>950400</v>
      </c>
      <c r="AP314" s="33"/>
      <c r="AQ314" s="55">
        <v>18045381345490</v>
      </c>
      <c r="AR314" s="55">
        <v>38003830200</v>
      </c>
      <c r="AS314" s="55">
        <v>18413793800</v>
      </c>
      <c r="AT314" s="55">
        <v>39012131200</v>
      </c>
      <c r="AU314" s="55">
        <v>13608003</v>
      </c>
      <c r="AV314" s="99">
        <v>1874775226</v>
      </c>
    </row>
    <row r="315" spans="1:48" ht="15">
      <c r="A315" s="41">
        <v>44134</v>
      </c>
      <c r="B315" s="65">
        <v>23889173800</v>
      </c>
      <c r="C315" s="65">
        <v>1735162500</v>
      </c>
      <c r="D315" s="65">
        <v>0</v>
      </c>
      <c r="E315" s="65">
        <v>0</v>
      </c>
      <c r="F315" s="56">
        <f t="shared" si="49"/>
        <v>25624336300</v>
      </c>
      <c r="G315" s="56">
        <f t="shared" si="48"/>
        <v>6918571</v>
      </c>
      <c r="H315" s="58">
        <v>1521148800</v>
      </c>
      <c r="I315" s="58">
        <v>2961000000</v>
      </c>
      <c r="J315" s="58">
        <f t="shared" si="56"/>
        <v>4482148800</v>
      </c>
      <c r="K315" s="58"/>
      <c r="L315" s="58">
        <v>2552711200</v>
      </c>
      <c r="M315" s="58"/>
      <c r="N315" s="58">
        <f t="shared" si="57"/>
        <v>2552711200</v>
      </c>
      <c r="O315" s="58"/>
      <c r="P315" s="58"/>
      <c r="Q315" s="58">
        <f t="shared" ref="Q315:Q339" si="58">O315+P315</f>
        <v>0</v>
      </c>
      <c r="R315" s="58">
        <v>98319800</v>
      </c>
      <c r="S315" s="58"/>
      <c r="T315" s="58"/>
      <c r="U315" s="58">
        <v>1861641500</v>
      </c>
      <c r="V315" s="58"/>
      <c r="W315" s="58">
        <f>U315+V315</f>
        <v>1861641500</v>
      </c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32">
        <f t="shared" si="51"/>
        <v>1325750</v>
      </c>
      <c r="AK315" s="66">
        <f>1134040*0.3</f>
        <v>340212</v>
      </c>
      <c r="AL315" s="42">
        <v>44134</v>
      </c>
      <c r="AM315" s="42">
        <v>309</v>
      </c>
      <c r="AN315" s="42">
        <f>1909*2550*2</f>
        <v>9735900</v>
      </c>
      <c r="AO315" s="60">
        <f t="shared" si="52"/>
        <v>834300</v>
      </c>
      <c r="AP315" s="66">
        <f>1600000</f>
        <v>1600000</v>
      </c>
      <c r="AQ315" s="55">
        <v>15025497166032</v>
      </c>
      <c r="AR315" s="55">
        <v>25919485000</v>
      </c>
      <c r="AS315" s="55">
        <v>8994821300</v>
      </c>
      <c r="AT315" s="55">
        <v>34619157600</v>
      </c>
      <c r="AU315" s="55">
        <v>20754733</v>
      </c>
      <c r="AV315" s="99">
        <v>1895529959</v>
      </c>
    </row>
    <row r="316" spans="1:48" ht="15">
      <c r="A316" s="28">
        <v>44137</v>
      </c>
      <c r="B316" s="56">
        <v>10081360000</v>
      </c>
      <c r="C316" s="56">
        <v>0</v>
      </c>
      <c r="D316" s="56">
        <v>0</v>
      </c>
      <c r="E316" s="56">
        <v>0</v>
      </c>
      <c r="F316" s="56">
        <f t="shared" si="49"/>
        <v>10081360000</v>
      </c>
      <c r="G316" s="56">
        <f t="shared" si="48"/>
        <v>2721967</v>
      </c>
      <c r="H316" s="57">
        <v>4516174000</v>
      </c>
      <c r="I316" s="57"/>
      <c r="J316" s="58">
        <f t="shared" si="56"/>
        <v>4516174000</v>
      </c>
      <c r="K316" s="57"/>
      <c r="L316" s="57">
        <v>141479200</v>
      </c>
      <c r="M316" s="57"/>
      <c r="N316" s="58">
        <f t="shared" si="57"/>
        <v>141479200</v>
      </c>
      <c r="O316" s="57">
        <v>10440000</v>
      </c>
      <c r="P316" s="57"/>
      <c r="Q316" s="58">
        <f t="shared" si="58"/>
        <v>10440000</v>
      </c>
      <c r="R316" s="57">
        <v>2096500</v>
      </c>
      <c r="S316" s="57"/>
      <c r="T316" s="57"/>
      <c r="U316" s="57">
        <v>1669292000</v>
      </c>
      <c r="V316" s="57"/>
      <c r="W316" s="57">
        <f t="shared" ref="W316:W339" si="59">U316+V316</f>
        <v>1669292000</v>
      </c>
      <c r="X316" s="58"/>
      <c r="Y316" s="58"/>
      <c r="Z316" s="58"/>
      <c r="AA316" s="58"/>
      <c r="AB316" s="58"/>
      <c r="AC316" s="58"/>
      <c r="AD316" s="58"/>
      <c r="AE316" s="58"/>
      <c r="AF316" s="58"/>
      <c r="AG316" s="58"/>
      <c r="AH316" s="58"/>
      <c r="AI316" s="58"/>
      <c r="AJ316" s="32">
        <f t="shared" si="51"/>
        <v>805004</v>
      </c>
      <c r="AK316" s="59">
        <f>85630*0.3</f>
        <v>25689</v>
      </c>
      <c r="AL316" s="34">
        <v>44137</v>
      </c>
      <c r="AM316" s="34">
        <v>168</v>
      </c>
      <c r="AN316" s="34">
        <f>2073*2550+1909*2550</f>
        <v>10154100</v>
      </c>
      <c r="AO316" s="60">
        <f t="shared" si="52"/>
        <v>453600</v>
      </c>
      <c r="AP316" s="59">
        <f>115380+600000+600000</f>
        <v>1315380</v>
      </c>
      <c r="AQ316" s="55">
        <v>12173282104400</v>
      </c>
      <c r="AR316" s="55">
        <v>17620944600</v>
      </c>
      <c r="AS316" s="55">
        <v>6339481700</v>
      </c>
      <c r="AT316" s="55">
        <v>16420841700</v>
      </c>
      <c r="AU316" s="55">
        <v>15475740</v>
      </c>
      <c r="AV316" s="99">
        <v>1911005699</v>
      </c>
    </row>
    <row r="317" spans="1:48" ht="15">
      <c r="A317" s="28">
        <v>44138</v>
      </c>
      <c r="B317" s="56">
        <v>0</v>
      </c>
      <c r="C317" s="56">
        <v>0</v>
      </c>
      <c r="D317" s="56">
        <v>0</v>
      </c>
      <c r="E317" s="56">
        <v>0</v>
      </c>
      <c r="F317" s="56">
        <f t="shared" si="49"/>
        <v>0</v>
      </c>
      <c r="G317" s="56">
        <f t="shared" si="48"/>
        <v>0</v>
      </c>
      <c r="H317" s="57">
        <v>3033941900</v>
      </c>
      <c r="I317" s="57"/>
      <c r="J317" s="58">
        <f t="shared" si="56"/>
        <v>3033941900</v>
      </c>
      <c r="K317" s="57"/>
      <c r="L317" s="57">
        <v>916500000</v>
      </c>
      <c r="M317" s="57"/>
      <c r="N317" s="58">
        <f t="shared" si="57"/>
        <v>916500000</v>
      </c>
      <c r="O317" s="57">
        <v>0</v>
      </c>
      <c r="P317" s="57"/>
      <c r="Q317" s="58">
        <f t="shared" si="58"/>
        <v>0</v>
      </c>
      <c r="R317" s="57">
        <v>116100</v>
      </c>
      <c r="S317" s="57"/>
      <c r="T317" s="57"/>
      <c r="U317" s="57">
        <v>5904981900</v>
      </c>
      <c r="V317" s="57"/>
      <c r="W317" s="57">
        <f t="shared" si="59"/>
        <v>5904981900</v>
      </c>
      <c r="X317" s="58"/>
      <c r="Y317" s="58"/>
      <c r="Z317" s="58"/>
      <c r="AA317" s="58"/>
      <c r="AB317" s="58"/>
      <c r="AC317" s="58"/>
      <c r="AD317" s="58"/>
      <c r="AE317" s="58"/>
      <c r="AF317" s="58"/>
      <c r="AG317" s="58"/>
      <c r="AH317" s="58"/>
      <c r="AI317" s="58"/>
      <c r="AJ317" s="32">
        <f t="shared" si="51"/>
        <v>1489565</v>
      </c>
      <c r="AK317" s="59">
        <f>330710*0.3</f>
        <v>99213</v>
      </c>
      <c r="AL317" s="34">
        <v>44138</v>
      </c>
      <c r="AM317" s="34">
        <v>44</v>
      </c>
      <c r="AN317" s="34">
        <f>2097*2550</f>
        <v>5347350</v>
      </c>
      <c r="AO317" s="60">
        <f t="shared" si="52"/>
        <v>118800</v>
      </c>
      <c r="AP317" s="33"/>
      <c r="AQ317" s="55">
        <v>14438496955736</v>
      </c>
      <c r="AR317" s="55">
        <v>29930475600</v>
      </c>
      <c r="AS317" s="55">
        <v>9855539900</v>
      </c>
      <c r="AT317" s="55">
        <v>9855539900</v>
      </c>
      <c r="AU317" s="55">
        <v>7054928</v>
      </c>
      <c r="AV317" s="99">
        <v>1918060627</v>
      </c>
    </row>
    <row r="318" spans="1:48" ht="15">
      <c r="A318" s="28">
        <v>44139</v>
      </c>
      <c r="B318" s="56">
        <v>4542241200</v>
      </c>
      <c r="C318" s="56">
        <v>0</v>
      </c>
      <c r="D318" s="56">
        <v>0</v>
      </c>
      <c r="E318" s="56">
        <v>0</v>
      </c>
      <c r="F318" s="56">
        <f t="shared" si="49"/>
        <v>4542241200</v>
      </c>
      <c r="G318" s="56">
        <f t="shared" si="48"/>
        <v>1226405</v>
      </c>
      <c r="H318" s="57">
        <f>J318-I318</f>
        <v>3267122200</v>
      </c>
      <c r="I318" s="57">
        <v>1519000000</v>
      </c>
      <c r="J318" s="58">
        <v>4786122200</v>
      </c>
      <c r="K318" s="57"/>
      <c r="L318" s="57">
        <v>0</v>
      </c>
      <c r="M318" s="57"/>
      <c r="N318" s="58">
        <f t="shared" si="57"/>
        <v>0</v>
      </c>
      <c r="O318" s="57">
        <v>0</v>
      </c>
      <c r="P318" s="57"/>
      <c r="Q318" s="58">
        <f t="shared" si="58"/>
        <v>0</v>
      </c>
      <c r="R318" s="57">
        <v>37620400</v>
      </c>
      <c r="S318" s="57"/>
      <c r="T318" s="57"/>
      <c r="U318" s="57">
        <v>8186300</v>
      </c>
      <c r="V318" s="57"/>
      <c r="W318" s="57">
        <f t="shared" si="59"/>
        <v>8186300</v>
      </c>
      <c r="X318" s="58"/>
      <c r="Y318" s="58"/>
      <c r="Z318" s="58"/>
      <c r="AA318" s="58"/>
      <c r="AB318" s="58"/>
      <c r="AC318" s="58"/>
      <c r="AD318" s="58"/>
      <c r="AE318" s="58"/>
      <c r="AF318" s="58"/>
      <c r="AG318" s="58"/>
      <c r="AH318" s="58"/>
      <c r="AI318" s="58"/>
      <c r="AJ318" s="32">
        <f t="shared" si="51"/>
        <v>634514</v>
      </c>
      <c r="AK318" s="59">
        <f>200270*0.3</f>
        <v>60081</v>
      </c>
      <c r="AL318" s="34">
        <v>44139</v>
      </c>
      <c r="AM318" s="34">
        <v>103</v>
      </c>
      <c r="AN318" s="34">
        <f>2132*2550</f>
        <v>5436600</v>
      </c>
      <c r="AO318" s="60">
        <f t="shared" si="52"/>
        <v>278100</v>
      </c>
      <c r="AP318" s="59">
        <f>1596540+236145+2541320+145350+278615</f>
        <v>4797970</v>
      </c>
      <c r="AQ318" s="55">
        <v>16293274100284</v>
      </c>
      <c r="AR318" s="55">
        <v>95110925020</v>
      </c>
      <c r="AS318" s="55">
        <v>4831928900</v>
      </c>
      <c r="AT318" s="55">
        <v>9374170100</v>
      </c>
      <c r="AU318" s="55">
        <v>12433670</v>
      </c>
      <c r="AV318" s="99">
        <v>1930494297</v>
      </c>
    </row>
    <row r="319" spans="1:48" ht="15.75" thickBot="1">
      <c r="A319" s="28">
        <v>44140</v>
      </c>
      <c r="B319" s="56">
        <v>0</v>
      </c>
      <c r="C319" s="56">
        <v>786538000</v>
      </c>
      <c r="D319" s="56">
        <v>0</v>
      </c>
      <c r="E319" s="56">
        <v>0</v>
      </c>
      <c r="F319" s="56">
        <f t="shared" si="49"/>
        <v>786538000</v>
      </c>
      <c r="G319" s="56">
        <f t="shared" si="48"/>
        <v>212365</v>
      </c>
      <c r="H319" s="57">
        <v>4594432800</v>
      </c>
      <c r="I319" s="57"/>
      <c r="J319" s="58">
        <f t="shared" si="56"/>
        <v>4594432800</v>
      </c>
      <c r="K319" s="57"/>
      <c r="L319" s="57">
        <v>282096000</v>
      </c>
      <c r="M319" s="57"/>
      <c r="N319" s="58">
        <f t="shared" si="57"/>
        <v>282096000</v>
      </c>
      <c r="O319" s="57">
        <v>0</v>
      </c>
      <c r="P319" s="57"/>
      <c r="Q319" s="58">
        <f t="shared" si="58"/>
        <v>0</v>
      </c>
      <c r="R319" s="57">
        <v>24633000</v>
      </c>
      <c r="S319" s="57"/>
      <c r="T319" s="57"/>
      <c r="U319" s="57">
        <v>944768700</v>
      </c>
      <c r="V319" s="57">
        <v>2925000000</v>
      </c>
      <c r="W319" s="57">
        <f t="shared" si="59"/>
        <v>3869768700</v>
      </c>
      <c r="X319" s="58"/>
      <c r="Y319" s="58"/>
      <c r="Z319" s="58"/>
      <c r="AA319" s="58"/>
      <c r="AB319" s="58"/>
      <c r="AC319" s="58"/>
      <c r="AD319" s="58"/>
      <c r="AE319" s="58"/>
      <c r="AF319" s="58"/>
      <c r="AG319" s="58"/>
      <c r="AH319" s="58"/>
      <c r="AI319" s="58"/>
      <c r="AJ319" s="32">
        <f t="shared" si="51"/>
        <v>1227657</v>
      </c>
      <c r="AK319" s="59">
        <f>323010*0.3</f>
        <v>96903</v>
      </c>
      <c r="AL319" s="34">
        <v>44140</v>
      </c>
      <c r="AM319" s="34">
        <v>58</v>
      </c>
      <c r="AN319" s="34">
        <f>2174*2550</f>
        <v>5543700</v>
      </c>
      <c r="AO319" s="60">
        <f t="shared" si="52"/>
        <v>156600</v>
      </c>
      <c r="AP319" s="59">
        <v>300000</v>
      </c>
      <c r="AQ319" s="55">
        <v>14791094768376</v>
      </c>
      <c r="AR319" s="55">
        <v>49245368600</v>
      </c>
      <c r="AS319" s="55">
        <v>11695930500</v>
      </c>
      <c r="AT319" s="55">
        <v>12482468500</v>
      </c>
      <c r="AU319" s="55">
        <v>7537225</v>
      </c>
      <c r="AV319" s="99">
        <v>1938031522</v>
      </c>
    </row>
    <row r="320" spans="1:48" ht="15">
      <c r="A320" s="35">
        <v>44141</v>
      </c>
      <c r="B320" s="61">
        <v>5716627000</v>
      </c>
      <c r="C320" s="61">
        <v>0</v>
      </c>
      <c r="D320" s="61">
        <v>0</v>
      </c>
      <c r="E320" s="61">
        <v>0</v>
      </c>
      <c r="F320" s="61">
        <f t="shared" si="49"/>
        <v>5716627000</v>
      </c>
      <c r="G320" s="61">
        <f t="shared" si="48"/>
        <v>1543489</v>
      </c>
      <c r="H320" s="62">
        <v>27434300</v>
      </c>
      <c r="I320" s="62"/>
      <c r="J320" s="62">
        <f t="shared" si="56"/>
        <v>27434300</v>
      </c>
      <c r="K320" s="62"/>
      <c r="L320" s="62">
        <v>4818672700</v>
      </c>
      <c r="M320" s="62"/>
      <c r="N320" s="62">
        <f t="shared" si="57"/>
        <v>4818672700</v>
      </c>
      <c r="O320" s="62"/>
      <c r="P320" s="62"/>
      <c r="Q320" s="62">
        <f t="shared" si="58"/>
        <v>0</v>
      </c>
      <c r="R320" s="62">
        <v>8504500</v>
      </c>
      <c r="S320" s="62"/>
      <c r="T320" s="62"/>
      <c r="U320" s="62">
        <v>669000</v>
      </c>
      <c r="V320" s="62"/>
      <c r="W320" s="62">
        <f t="shared" si="59"/>
        <v>669000</v>
      </c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  <c r="AI320" s="62"/>
      <c r="AJ320" s="37">
        <f t="shared" si="51"/>
        <v>525031</v>
      </c>
      <c r="AK320" s="63">
        <f>7370*0.3</f>
        <v>2211</v>
      </c>
      <c r="AL320" s="39">
        <v>44141</v>
      </c>
      <c r="AM320" s="39">
        <v>246</v>
      </c>
      <c r="AN320" s="39">
        <f>2282*2550*3</f>
        <v>17457300</v>
      </c>
      <c r="AO320" s="64">
        <f t="shared" si="52"/>
        <v>664200</v>
      </c>
      <c r="AP320" s="38"/>
      <c r="AQ320" s="55">
        <v>12506759168500</v>
      </c>
      <c r="AR320" s="55">
        <v>22323620200</v>
      </c>
      <c r="AS320" s="55">
        <v>4855280500</v>
      </c>
      <c r="AT320" s="55">
        <v>10571907500</v>
      </c>
      <c r="AU320" s="55">
        <v>20192231</v>
      </c>
      <c r="AV320" s="99">
        <v>1958223753</v>
      </c>
    </row>
    <row r="321" spans="1:48" ht="15">
      <c r="A321" s="28">
        <v>44144</v>
      </c>
      <c r="B321" s="56">
        <v>25130328000</v>
      </c>
      <c r="C321" s="56">
        <v>773939500</v>
      </c>
      <c r="D321" s="56">
        <v>0</v>
      </c>
      <c r="E321" s="56">
        <v>0</v>
      </c>
      <c r="F321" s="56">
        <f t="shared" si="49"/>
        <v>25904267500</v>
      </c>
      <c r="G321" s="56">
        <f t="shared" si="48"/>
        <v>6994152</v>
      </c>
      <c r="H321" s="57">
        <v>7752689800</v>
      </c>
      <c r="I321" s="57"/>
      <c r="J321" s="58">
        <f t="shared" si="56"/>
        <v>7752689800</v>
      </c>
      <c r="K321" s="57"/>
      <c r="L321" s="57">
        <v>3399030000</v>
      </c>
      <c r="M321" s="57">
        <v>1403000000</v>
      </c>
      <c r="N321" s="58">
        <f t="shared" si="57"/>
        <v>4802030000</v>
      </c>
      <c r="O321" s="57">
        <v>1060000</v>
      </c>
      <c r="P321" s="57"/>
      <c r="Q321" s="58">
        <f t="shared" si="58"/>
        <v>1060000</v>
      </c>
      <c r="R321" s="57">
        <v>2826400</v>
      </c>
      <c r="S321" s="57"/>
      <c r="T321" s="57"/>
      <c r="U321" s="57">
        <v>2203951200</v>
      </c>
      <c r="V321" s="57"/>
      <c r="W321" s="57">
        <f t="shared" si="59"/>
        <v>2203951200</v>
      </c>
      <c r="X321" s="58"/>
      <c r="Y321" s="58"/>
      <c r="Z321" s="58"/>
      <c r="AA321" s="58"/>
      <c r="AB321" s="58"/>
      <c r="AC321" s="58"/>
      <c r="AD321" s="58"/>
      <c r="AE321" s="58"/>
      <c r="AF321" s="58"/>
      <c r="AG321" s="58"/>
      <c r="AH321" s="58"/>
      <c r="AI321" s="58"/>
      <c r="AJ321" s="32">
        <f t="shared" si="51"/>
        <v>1854260</v>
      </c>
      <c r="AK321" s="59">
        <f>97520*0.3</f>
        <v>29256</v>
      </c>
      <c r="AL321" s="34">
        <v>44144</v>
      </c>
      <c r="AM321" s="34">
        <v>415</v>
      </c>
      <c r="AN321" s="34">
        <f>2697*2550</f>
        <v>6877350</v>
      </c>
      <c r="AO321" s="60">
        <f t="shared" si="52"/>
        <v>1120500</v>
      </c>
      <c r="AP321" s="59">
        <v>700000</v>
      </c>
      <c r="AQ321" s="55">
        <v>18337435276622</v>
      </c>
      <c r="AR321" s="55">
        <v>63622620800</v>
      </c>
      <c r="AS321" s="55">
        <v>14762557400</v>
      </c>
      <c r="AT321" s="55">
        <v>40666824900</v>
      </c>
      <c r="AU321" s="55">
        <v>17575518</v>
      </c>
      <c r="AV321" s="99">
        <v>1975799271</v>
      </c>
    </row>
    <row r="322" spans="1:48" ht="15">
      <c r="A322" s="28">
        <v>44145</v>
      </c>
      <c r="B322" s="56">
        <v>0</v>
      </c>
      <c r="C322" s="56">
        <v>0</v>
      </c>
      <c r="D322" s="56">
        <v>0</v>
      </c>
      <c r="E322" s="56">
        <v>0</v>
      </c>
      <c r="F322" s="56">
        <f t="shared" si="49"/>
        <v>0</v>
      </c>
      <c r="G322" s="56">
        <f t="shared" si="48"/>
        <v>0</v>
      </c>
      <c r="H322" s="57">
        <v>5156908700</v>
      </c>
      <c r="I322" s="57"/>
      <c r="J322" s="58">
        <f t="shared" si="56"/>
        <v>5156908700</v>
      </c>
      <c r="K322" s="57"/>
      <c r="L322" s="57">
        <v>837293400</v>
      </c>
      <c r="M322" s="57"/>
      <c r="N322" s="58">
        <f t="shared" si="57"/>
        <v>837293400</v>
      </c>
      <c r="O322" s="57">
        <v>3213121500</v>
      </c>
      <c r="P322" s="57"/>
      <c r="Q322" s="58">
        <f t="shared" si="58"/>
        <v>3213121500</v>
      </c>
      <c r="R322" s="57">
        <v>3566000</v>
      </c>
      <c r="S322" s="57"/>
      <c r="T322" s="57"/>
      <c r="U322" s="57">
        <v>5447884600</v>
      </c>
      <c r="V322" s="57"/>
      <c r="W322" s="57">
        <f t="shared" si="59"/>
        <v>5447884600</v>
      </c>
      <c r="X322" s="58"/>
      <c r="Y322" s="58"/>
      <c r="Z322" s="58"/>
      <c r="AA322" s="58"/>
      <c r="AB322" s="58"/>
      <c r="AC322" s="58"/>
      <c r="AD322" s="58"/>
      <c r="AE322" s="58"/>
      <c r="AF322" s="58"/>
      <c r="AG322" s="58"/>
      <c r="AH322" s="58"/>
      <c r="AI322" s="58"/>
      <c r="AJ322" s="32">
        <f t="shared" si="51"/>
        <v>1975652</v>
      </c>
      <c r="AK322" s="59">
        <f>259310*0.3</f>
        <v>77793</v>
      </c>
      <c r="AL322" s="34">
        <v>44145</v>
      </c>
      <c r="AM322" s="34">
        <v>184</v>
      </c>
      <c r="AN322" s="34">
        <f>2791*2550</f>
        <v>7117050</v>
      </c>
      <c r="AO322" s="60">
        <f t="shared" si="52"/>
        <v>496800</v>
      </c>
      <c r="AP322" s="33"/>
      <c r="AQ322" s="55">
        <v>22363878013204</v>
      </c>
      <c r="AR322" s="55">
        <v>173075536240</v>
      </c>
      <c r="AS322" s="55">
        <v>14658774200</v>
      </c>
      <c r="AT322" s="55">
        <v>14658774200</v>
      </c>
      <c r="AU322" s="55">
        <v>9667295</v>
      </c>
      <c r="AV322" s="99">
        <v>1985466566</v>
      </c>
    </row>
    <row r="323" spans="1:48" ht="15">
      <c r="A323" s="28">
        <v>44146</v>
      </c>
      <c r="B323" s="56">
        <v>4604143000</v>
      </c>
      <c r="C323" s="56">
        <v>3382005000</v>
      </c>
      <c r="D323" s="56">
        <v>0</v>
      </c>
      <c r="E323" s="56">
        <v>0</v>
      </c>
      <c r="F323" s="56">
        <f t="shared" si="49"/>
        <v>7986148000</v>
      </c>
      <c r="G323" s="56">
        <f t="shared" si="48"/>
        <v>2156260</v>
      </c>
      <c r="H323" s="31">
        <v>3641034300</v>
      </c>
      <c r="I323" s="57">
        <v>15416500000</v>
      </c>
      <c r="J323" s="58">
        <f t="shared" si="56"/>
        <v>19057534300</v>
      </c>
      <c r="K323" s="31"/>
      <c r="L323" s="57">
        <v>1524973600</v>
      </c>
      <c r="M323" s="57"/>
      <c r="N323" s="58">
        <f t="shared" si="57"/>
        <v>1524973600</v>
      </c>
      <c r="O323" s="57">
        <v>1065300000</v>
      </c>
      <c r="P323" s="57"/>
      <c r="Q323" s="58">
        <f t="shared" si="58"/>
        <v>1065300000</v>
      </c>
      <c r="R323" s="31">
        <v>45771200</v>
      </c>
      <c r="S323" s="31"/>
      <c r="T323" s="31"/>
      <c r="U323" s="57">
        <v>37575400</v>
      </c>
      <c r="V323" s="31"/>
      <c r="W323" s="57">
        <f t="shared" si="59"/>
        <v>37575400</v>
      </c>
      <c r="X323" s="58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32">
        <f t="shared" si="51"/>
        <v>3462954</v>
      </c>
      <c r="AK323" s="59">
        <f>300000+225900*0.3</f>
        <v>367770</v>
      </c>
      <c r="AL323" s="34">
        <v>44146</v>
      </c>
      <c r="AM323" s="34">
        <v>276</v>
      </c>
      <c r="AN323" s="34">
        <f>2547*2550</f>
        <v>6494850</v>
      </c>
      <c r="AO323" s="60">
        <f t="shared" si="52"/>
        <v>745200</v>
      </c>
      <c r="AP323" s="59">
        <v>700000</v>
      </c>
      <c r="AQ323" s="55">
        <v>18482364466216</v>
      </c>
      <c r="AR323" s="55">
        <v>57454181800</v>
      </c>
      <c r="AS323" s="55">
        <v>21731154500</v>
      </c>
      <c r="AT323" s="55">
        <v>29717302500</v>
      </c>
      <c r="AU323" s="55">
        <v>13927034</v>
      </c>
      <c r="AV323" s="99">
        <v>1999393600</v>
      </c>
    </row>
    <row r="324" spans="1:48" ht="15.75" thickBot="1">
      <c r="A324" s="28">
        <v>44147</v>
      </c>
      <c r="B324" s="56">
        <v>0</v>
      </c>
      <c r="C324" s="56">
        <v>0</v>
      </c>
      <c r="D324" s="56">
        <v>0</v>
      </c>
      <c r="E324" s="56">
        <v>0</v>
      </c>
      <c r="F324" s="29">
        <f t="shared" si="49"/>
        <v>0</v>
      </c>
      <c r="G324" s="56">
        <f t="shared" si="48"/>
        <v>0</v>
      </c>
      <c r="H324" s="57">
        <v>0</v>
      </c>
      <c r="I324" s="57">
        <v>0</v>
      </c>
      <c r="J324" s="58">
        <f t="shared" si="56"/>
        <v>0</v>
      </c>
      <c r="K324" s="31"/>
      <c r="L324" s="57">
        <v>93814500</v>
      </c>
      <c r="M324" s="57"/>
      <c r="N324" s="58">
        <f t="shared" si="57"/>
        <v>93814500</v>
      </c>
      <c r="O324" s="57">
        <v>108300</v>
      </c>
      <c r="P324" s="57"/>
      <c r="Q324" s="58">
        <f t="shared" si="58"/>
        <v>108300</v>
      </c>
      <c r="R324" s="57">
        <v>25487000</v>
      </c>
      <c r="S324" s="57"/>
      <c r="T324" s="57"/>
      <c r="U324" s="57">
        <v>15619300</v>
      </c>
      <c r="V324" s="57"/>
      <c r="W324" s="57">
        <f t="shared" si="59"/>
        <v>15619300</v>
      </c>
      <c r="X324" s="58"/>
      <c r="Y324" s="58"/>
      <c r="Z324" s="58"/>
      <c r="AA324" s="58"/>
      <c r="AB324" s="58"/>
      <c r="AC324" s="58"/>
      <c r="AD324" s="58"/>
      <c r="AE324" s="58"/>
      <c r="AF324" s="58"/>
      <c r="AG324" s="58"/>
      <c r="AH324" s="58"/>
      <c r="AI324" s="58"/>
      <c r="AJ324" s="32">
        <f t="shared" si="51"/>
        <v>17543</v>
      </c>
      <c r="AK324" s="59">
        <f>10110*0.3</f>
        <v>3033</v>
      </c>
      <c r="AL324" s="34">
        <v>44147</v>
      </c>
      <c r="AM324" s="34">
        <v>340</v>
      </c>
      <c r="AN324" s="34">
        <f>2211*2550</f>
        <v>5638050</v>
      </c>
      <c r="AO324" s="60">
        <f t="shared" si="52"/>
        <v>918000</v>
      </c>
      <c r="AP324" s="33"/>
      <c r="AQ324" s="55">
        <v>14549850941144</v>
      </c>
      <c r="AR324" s="55">
        <v>28894295200</v>
      </c>
      <c r="AS324" s="55">
        <v>135029100</v>
      </c>
      <c r="AT324" s="55">
        <v>135029100</v>
      </c>
      <c r="AU324" s="55">
        <v>6576626</v>
      </c>
      <c r="AV324" s="99">
        <v>2005970226</v>
      </c>
    </row>
    <row r="325" spans="1:48" ht="15">
      <c r="A325" s="35">
        <v>44148</v>
      </c>
      <c r="B325" s="61">
        <v>0</v>
      </c>
      <c r="C325" s="61">
        <v>1808392000</v>
      </c>
      <c r="D325" s="61">
        <v>0</v>
      </c>
      <c r="E325" s="61">
        <v>0</v>
      </c>
      <c r="F325" s="36">
        <f>B325+C325+D325+E325</f>
        <v>1808392000</v>
      </c>
      <c r="G325" s="61">
        <f t="shared" si="48"/>
        <v>488266</v>
      </c>
      <c r="H325" s="37"/>
      <c r="I325" s="62">
        <v>33941200000</v>
      </c>
      <c r="J325" s="62">
        <f>H325+I325</f>
        <v>33941200000</v>
      </c>
      <c r="K325" s="37"/>
      <c r="L325" s="62">
        <v>1058256600</v>
      </c>
      <c r="M325" s="37">
        <v>395550000</v>
      </c>
      <c r="N325" s="62">
        <f t="shared" si="57"/>
        <v>1453806600</v>
      </c>
      <c r="O325" s="62">
        <v>110000</v>
      </c>
      <c r="P325" s="62"/>
      <c r="Q325" s="62">
        <f t="shared" si="58"/>
        <v>110000</v>
      </c>
      <c r="R325" s="62">
        <v>241600</v>
      </c>
      <c r="S325" s="62"/>
      <c r="T325" s="62"/>
      <c r="U325" s="62">
        <v>1252800</v>
      </c>
      <c r="V325" s="62"/>
      <c r="W325" s="62">
        <f t="shared" si="59"/>
        <v>1252800</v>
      </c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  <c r="AI325" s="62"/>
      <c r="AJ325" s="37">
        <f t="shared" si="51"/>
        <v>6295188</v>
      </c>
      <c r="AK325" s="63">
        <f>300000+(100350*0.3)</f>
        <v>330105</v>
      </c>
      <c r="AL325" s="39">
        <v>44148</v>
      </c>
      <c r="AM325" s="39">
        <v>26</v>
      </c>
      <c r="AN325" s="39">
        <f>2185*2550*3</f>
        <v>16715250</v>
      </c>
      <c r="AO325" s="64">
        <f t="shared" si="52"/>
        <v>70200</v>
      </c>
      <c r="AP325" s="63">
        <v>600000</v>
      </c>
      <c r="AQ325" s="55">
        <v>18287263001580</v>
      </c>
      <c r="AR325" s="55">
        <v>138661769000</v>
      </c>
      <c r="AS325" s="55">
        <v>35396611000</v>
      </c>
      <c r="AT325" s="55">
        <v>37205003000</v>
      </c>
      <c r="AU325" s="55">
        <v>24499009</v>
      </c>
      <c r="AV325" s="99">
        <v>2030469235</v>
      </c>
    </row>
    <row r="326" spans="1:48" ht="15">
      <c r="A326" s="28">
        <v>44151</v>
      </c>
      <c r="B326" s="56">
        <v>48733864500</v>
      </c>
      <c r="C326" s="56">
        <v>1223317500</v>
      </c>
      <c r="D326" s="56">
        <v>0</v>
      </c>
      <c r="E326" s="56">
        <v>0</v>
      </c>
      <c r="F326" s="29">
        <f t="shared" ref="F326:F334" si="60">B326+C326+D326+E326</f>
        <v>49957182000</v>
      </c>
      <c r="G326" s="56">
        <f t="shared" si="48"/>
        <v>13488439</v>
      </c>
      <c r="H326" s="57">
        <v>6516308400</v>
      </c>
      <c r="I326" s="57"/>
      <c r="J326" s="58">
        <f t="shared" si="56"/>
        <v>6516308400</v>
      </c>
      <c r="K326" s="31"/>
      <c r="L326" s="57">
        <v>2990790700</v>
      </c>
      <c r="M326" s="57">
        <v>1463000000</v>
      </c>
      <c r="N326" s="58">
        <f t="shared" si="57"/>
        <v>4453790700</v>
      </c>
      <c r="O326" s="57">
        <v>330000</v>
      </c>
      <c r="P326" s="57"/>
      <c r="Q326" s="58">
        <f t="shared" si="58"/>
        <v>330000</v>
      </c>
      <c r="R326" s="57">
        <v>3723100</v>
      </c>
      <c r="S326" s="57"/>
      <c r="T326" s="57"/>
      <c r="U326" s="57">
        <v>5361600</v>
      </c>
      <c r="V326" s="57"/>
      <c r="W326" s="57">
        <f t="shared" si="59"/>
        <v>5361600</v>
      </c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  <c r="AH326" s="58"/>
      <c r="AI326" s="58"/>
      <c r="AJ326" s="32">
        <f t="shared" ref="AJ326:AJ357" si="61">ROUND(H326*0.0108%+I326*0.018%+K326*0.018%+L326*0.0108%+M326*0.018%+O326*0.0108%+P326*0.018%+R326*0.018%+W326*0.018%,0)</f>
        <v>1291778</v>
      </c>
      <c r="AK326" s="59">
        <f>689290*0.3</f>
        <v>206787</v>
      </c>
      <c r="AL326" s="34">
        <v>44151</v>
      </c>
      <c r="AM326" s="34">
        <v>1200</v>
      </c>
      <c r="AN326" s="34">
        <f>2077*2550</f>
        <v>5296350</v>
      </c>
      <c r="AO326" s="60">
        <f t="shared" si="52"/>
        <v>3240000</v>
      </c>
      <c r="AP326" s="59">
        <v>600000</v>
      </c>
      <c r="AQ326" s="55">
        <v>23195546959800</v>
      </c>
      <c r="AR326" s="55">
        <v>62347962400</v>
      </c>
      <c r="AS326" s="55">
        <v>10979513800</v>
      </c>
      <c r="AT326" s="55">
        <v>60936695800</v>
      </c>
      <c r="AU326" s="55">
        <v>24123354</v>
      </c>
      <c r="AV326" s="99">
        <v>2054592589</v>
      </c>
    </row>
    <row r="327" spans="1:48" ht="15">
      <c r="A327" s="28">
        <v>44152</v>
      </c>
      <c r="B327" s="56">
        <v>13782689500</v>
      </c>
      <c r="C327" s="56">
        <v>4799337000</v>
      </c>
      <c r="D327" s="56">
        <v>0</v>
      </c>
      <c r="E327" s="56">
        <v>0</v>
      </c>
      <c r="F327" s="29">
        <f t="shared" si="60"/>
        <v>18582026500</v>
      </c>
      <c r="G327" s="56">
        <f t="shared" si="48"/>
        <v>5017147</v>
      </c>
      <c r="H327" s="57">
        <v>102280500</v>
      </c>
      <c r="I327" s="57">
        <v>42347000000</v>
      </c>
      <c r="J327" s="58">
        <f t="shared" si="56"/>
        <v>42449280500</v>
      </c>
      <c r="K327" s="31"/>
      <c r="L327" s="57">
        <v>1545242100</v>
      </c>
      <c r="M327" s="57"/>
      <c r="N327" s="58">
        <f t="shared" si="57"/>
        <v>1545242100</v>
      </c>
      <c r="O327" s="57">
        <v>110800</v>
      </c>
      <c r="P327" s="57"/>
      <c r="Q327" s="58">
        <f t="shared" si="58"/>
        <v>110800</v>
      </c>
      <c r="R327" s="57">
        <v>6976000</v>
      </c>
      <c r="S327" s="57"/>
      <c r="T327" s="57"/>
      <c r="U327" s="57">
        <v>23467700</v>
      </c>
      <c r="V327" s="57"/>
      <c r="W327" s="57">
        <f t="shared" si="59"/>
        <v>23467700</v>
      </c>
      <c r="X327" s="58"/>
      <c r="Y327" s="58"/>
      <c r="Z327" s="58"/>
      <c r="AA327" s="58"/>
      <c r="AB327" s="58"/>
      <c r="AC327" s="58"/>
      <c r="AD327" s="58"/>
      <c r="AE327" s="58"/>
      <c r="AF327" s="58"/>
      <c r="AG327" s="58"/>
      <c r="AH327" s="58"/>
      <c r="AI327" s="58"/>
      <c r="AJ327" s="32">
        <f t="shared" si="61"/>
        <v>7805884</v>
      </c>
      <c r="AK327" s="59">
        <f>300000+0.3*445960</f>
        <v>433788</v>
      </c>
      <c r="AL327" s="34">
        <v>44152</v>
      </c>
      <c r="AM327" s="34">
        <v>580</v>
      </c>
      <c r="AN327" s="34">
        <f>1849*2550</f>
        <v>4714950</v>
      </c>
      <c r="AO327" s="60">
        <f t="shared" si="52"/>
        <v>1566000</v>
      </c>
      <c r="AP327" s="59">
        <v>600000</v>
      </c>
      <c r="AQ327" s="55">
        <v>20945105099196</v>
      </c>
      <c r="AR327" s="55">
        <v>129929455400</v>
      </c>
      <c r="AS327" s="55">
        <v>44025077100</v>
      </c>
      <c r="AT327" s="55">
        <v>62607103600</v>
      </c>
      <c r="AU327" s="55">
        <v>20137769</v>
      </c>
      <c r="AV327" s="99">
        <v>2074730358</v>
      </c>
    </row>
    <row r="328" spans="1:48" ht="15">
      <c r="A328" s="28">
        <v>44153</v>
      </c>
      <c r="B328" s="56">
        <v>34989448000</v>
      </c>
      <c r="C328" s="56">
        <v>0</v>
      </c>
      <c r="D328" s="56">
        <v>0</v>
      </c>
      <c r="E328" s="56">
        <v>0</v>
      </c>
      <c r="F328" s="29">
        <f t="shared" si="60"/>
        <v>34989448000</v>
      </c>
      <c r="G328" s="56">
        <f t="shared" si="48"/>
        <v>9447151</v>
      </c>
      <c r="H328" s="57">
        <v>3624955800</v>
      </c>
      <c r="I328" s="57"/>
      <c r="J328" s="58">
        <f t="shared" si="56"/>
        <v>3624955800</v>
      </c>
      <c r="K328" s="31"/>
      <c r="L328" s="57">
        <v>789325100</v>
      </c>
      <c r="M328" s="57"/>
      <c r="N328" s="58">
        <f t="shared" si="57"/>
        <v>789325100</v>
      </c>
      <c r="O328" s="57">
        <v>111000</v>
      </c>
      <c r="P328" s="57"/>
      <c r="Q328" s="58">
        <f t="shared" si="58"/>
        <v>111000</v>
      </c>
      <c r="R328" s="57">
        <v>6478400</v>
      </c>
      <c r="S328" s="57"/>
      <c r="T328" s="57"/>
      <c r="U328" s="57">
        <v>1691512500</v>
      </c>
      <c r="V328" s="57"/>
      <c r="W328" s="57">
        <f t="shared" si="59"/>
        <v>1691512500</v>
      </c>
      <c r="X328" s="58"/>
      <c r="Y328" s="58"/>
      <c r="Z328" s="58"/>
      <c r="AA328" s="58"/>
      <c r="AB328" s="58"/>
      <c r="AC328" s="58"/>
      <c r="AD328" s="58"/>
      <c r="AE328" s="58"/>
      <c r="AF328" s="58"/>
      <c r="AG328" s="58"/>
      <c r="AH328" s="58"/>
      <c r="AI328" s="58"/>
      <c r="AJ328" s="32">
        <f t="shared" si="61"/>
        <v>782393</v>
      </c>
      <c r="AK328" s="59">
        <f>901960*0.3</f>
        <v>270588</v>
      </c>
      <c r="AL328" s="34">
        <v>44153</v>
      </c>
      <c r="AM328" s="34">
        <v>663</v>
      </c>
      <c r="AN328" s="34">
        <f>1508*2550</f>
        <v>3845400</v>
      </c>
      <c r="AO328" s="60">
        <f t="shared" si="52"/>
        <v>1790100</v>
      </c>
      <c r="AP328" s="33"/>
      <c r="AQ328" s="55">
        <v>23116228909452</v>
      </c>
      <c r="AR328" s="55">
        <v>61676157800</v>
      </c>
      <c r="AS328" s="55">
        <v>6112382800</v>
      </c>
      <c r="AT328" s="55">
        <v>41101830800</v>
      </c>
      <c r="AU328" s="55">
        <v>16135632</v>
      </c>
      <c r="AV328" s="99">
        <v>2090865990</v>
      </c>
    </row>
    <row r="329" spans="1:48" ht="15.75" thickBot="1">
      <c r="A329" s="28">
        <v>44154</v>
      </c>
      <c r="B329" s="56">
        <v>26260240500</v>
      </c>
      <c r="C329" s="56">
        <v>17177102500</v>
      </c>
      <c r="D329" s="56"/>
      <c r="E329" s="56">
        <v>0</v>
      </c>
      <c r="F329" s="29">
        <f t="shared" si="60"/>
        <v>43437343000</v>
      </c>
      <c r="G329" s="56">
        <f t="shared" si="48"/>
        <v>11728083</v>
      </c>
      <c r="H329" s="57">
        <f>J329-I329</f>
        <v>0</v>
      </c>
      <c r="I329" s="57">
        <v>6294000000</v>
      </c>
      <c r="J329" s="58">
        <v>6294000000</v>
      </c>
      <c r="K329" s="31"/>
      <c r="L329" s="57"/>
      <c r="M329" s="57"/>
      <c r="N329" s="58">
        <f t="shared" si="57"/>
        <v>0</v>
      </c>
      <c r="O329" s="57"/>
      <c r="P329" s="57"/>
      <c r="Q329" s="58">
        <f t="shared" si="58"/>
        <v>0</v>
      </c>
      <c r="R329" s="57">
        <v>1693400</v>
      </c>
      <c r="S329" s="57"/>
      <c r="T329" s="57"/>
      <c r="U329" s="57">
        <v>117000</v>
      </c>
      <c r="V329" s="57"/>
      <c r="W329" s="57">
        <f t="shared" si="59"/>
        <v>117000</v>
      </c>
      <c r="X329" s="58"/>
      <c r="Y329" s="58"/>
      <c r="Z329" s="58"/>
      <c r="AA329" s="58"/>
      <c r="AB329" s="58"/>
      <c r="AC329" s="58"/>
      <c r="AD329" s="58"/>
      <c r="AE329" s="58"/>
      <c r="AF329" s="58"/>
      <c r="AG329" s="58"/>
      <c r="AH329" s="58"/>
      <c r="AI329" s="58"/>
      <c r="AJ329" s="32">
        <f t="shared" si="61"/>
        <v>1133246</v>
      </c>
      <c r="AK329" s="59">
        <f>1130270*0.3</f>
        <v>339081</v>
      </c>
      <c r="AL329" s="34">
        <v>44154</v>
      </c>
      <c r="AM329" s="34">
        <v>426</v>
      </c>
      <c r="AN329" s="34">
        <f>1282*2550</f>
        <v>3269100</v>
      </c>
      <c r="AO329" s="60">
        <f t="shared" si="52"/>
        <v>1150200</v>
      </c>
      <c r="AP329" s="59">
        <f>600000+400000</f>
        <v>1000000</v>
      </c>
      <c r="AQ329" s="55">
        <v>24458258443200</v>
      </c>
      <c r="AR329" s="55">
        <v>21463795800</v>
      </c>
      <c r="AS329" s="55">
        <v>6295810400</v>
      </c>
      <c r="AT329" s="55">
        <v>50232563400</v>
      </c>
      <c r="AU329" s="55">
        <v>18619710</v>
      </c>
      <c r="AV329" s="99">
        <v>2109485700</v>
      </c>
    </row>
    <row r="330" spans="1:48" ht="15">
      <c r="A330" s="35">
        <v>44155</v>
      </c>
      <c r="B330" s="61">
        <v>7533277500</v>
      </c>
      <c r="C330" s="61">
        <v>0</v>
      </c>
      <c r="D330" s="61">
        <v>0</v>
      </c>
      <c r="E330" s="61">
        <v>0</v>
      </c>
      <c r="F330" s="36">
        <f t="shared" si="60"/>
        <v>7533277500</v>
      </c>
      <c r="G330" s="61">
        <f t="shared" si="48"/>
        <v>2033985</v>
      </c>
      <c r="H330" s="62">
        <v>3143228000</v>
      </c>
      <c r="I330" s="62"/>
      <c r="J330" s="62">
        <f t="shared" si="56"/>
        <v>3143228000</v>
      </c>
      <c r="K330" s="37"/>
      <c r="L330" s="62">
        <f>2197950000-1466000000</f>
        <v>731950000</v>
      </c>
      <c r="M330" s="62">
        <v>1466000000</v>
      </c>
      <c r="N330" s="62">
        <f t="shared" si="57"/>
        <v>2197950000</v>
      </c>
      <c r="O330" s="62">
        <v>560607400</v>
      </c>
      <c r="P330" s="62"/>
      <c r="Q330" s="62">
        <f t="shared" si="58"/>
        <v>560607400</v>
      </c>
      <c r="R330" s="62">
        <v>20181800</v>
      </c>
      <c r="S330" s="62"/>
      <c r="T330" s="62"/>
      <c r="U330" s="62">
        <v>931308100</v>
      </c>
      <c r="V330" s="62"/>
      <c r="W330" s="62">
        <f t="shared" si="59"/>
        <v>931308100</v>
      </c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  <c r="AI330" s="62"/>
      <c r="AJ330" s="37">
        <f t="shared" si="61"/>
        <v>914213</v>
      </c>
      <c r="AK330" s="63">
        <f>104520*0.3</f>
        <v>31356</v>
      </c>
      <c r="AL330" s="39">
        <v>44155</v>
      </c>
      <c r="AM330" s="39">
        <v>49</v>
      </c>
      <c r="AN330" s="39">
        <f>1214*2550*3</f>
        <v>9287100</v>
      </c>
      <c r="AO330" s="64">
        <f t="shared" si="52"/>
        <v>132300</v>
      </c>
      <c r="AP330" s="38"/>
      <c r="AQ330" s="55">
        <v>23166520844020</v>
      </c>
      <c r="AR330" s="55">
        <v>78145047000</v>
      </c>
      <c r="AS330" s="55">
        <v>6853275300</v>
      </c>
      <c r="AT330" s="55">
        <v>14386552800</v>
      </c>
      <c r="AU330" s="55">
        <v>12398954</v>
      </c>
      <c r="AV330" s="99">
        <v>2121884654</v>
      </c>
    </row>
    <row r="331" spans="1:48" ht="15">
      <c r="A331" s="28">
        <v>44158</v>
      </c>
      <c r="B331" s="56">
        <v>3312000</v>
      </c>
      <c r="C331" s="56">
        <v>0</v>
      </c>
      <c r="D331" s="56">
        <v>0</v>
      </c>
      <c r="E331" s="56">
        <v>0</v>
      </c>
      <c r="F331" s="29">
        <f t="shared" si="60"/>
        <v>3312000</v>
      </c>
      <c r="G331" s="56">
        <f t="shared" si="48"/>
        <v>894</v>
      </c>
      <c r="H331" s="57">
        <v>6864600500</v>
      </c>
      <c r="I331" s="57">
        <v>20715500000</v>
      </c>
      <c r="J331" s="58">
        <f t="shared" si="56"/>
        <v>27580100500</v>
      </c>
      <c r="K331" s="31"/>
      <c r="L331" s="57">
        <v>151000</v>
      </c>
      <c r="M331" s="57">
        <v>427630000</v>
      </c>
      <c r="N331" s="58">
        <f t="shared" si="57"/>
        <v>427781000</v>
      </c>
      <c r="O331" s="57">
        <v>113500</v>
      </c>
      <c r="P331" s="57"/>
      <c r="Q331" s="58">
        <f t="shared" si="58"/>
        <v>113500</v>
      </c>
      <c r="R331" s="57">
        <v>91494500</v>
      </c>
      <c r="S331" s="57"/>
      <c r="T331" s="57"/>
      <c r="U331" s="57">
        <v>230222700</v>
      </c>
      <c r="V331" s="57"/>
      <c r="W331" s="57">
        <f t="shared" si="59"/>
        <v>230222700</v>
      </c>
      <c r="X331" s="58"/>
      <c r="Y331" s="58"/>
      <c r="Z331" s="58"/>
      <c r="AA331" s="58"/>
      <c r="AB331" s="58"/>
      <c r="AC331" s="58"/>
      <c r="AD331" s="58"/>
      <c r="AE331" s="58"/>
      <c r="AF331" s="58"/>
      <c r="AG331" s="58"/>
      <c r="AH331" s="58"/>
      <c r="AI331" s="58"/>
      <c r="AJ331" s="32">
        <f t="shared" si="61"/>
        <v>4605078</v>
      </c>
      <c r="AK331" s="59">
        <f>955650*0.3</f>
        <v>286695</v>
      </c>
      <c r="AL331" s="34">
        <v>44158</v>
      </c>
      <c r="AM331" s="34">
        <v>230</v>
      </c>
      <c r="AN331" s="34">
        <f>1288*2550</f>
        <v>3284400</v>
      </c>
      <c r="AO331" s="60">
        <f t="shared" si="52"/>
        <v>621000</v>
      </c>
      <c r="AP331" s="33"/>
      <c r="AQ331" s="55">
        <v>24689726488676</v>
      </c>
      <c r="AR331" s="55">
        <v>129888136600</v>
      </c>
      <c r="AS331" s="55">
        <v>42715712200</v>
      </c>
      <c r="AT331" s="55">
        <v>42719024200</v>
      </c>
      <c r="AU331" s="55">
        <v>8798067</v>
      </c>
      <c r="AV331" s="99">
        <v>2130682721</v>
      </c>
    </row>
    <row r="332" spans="1:48" ht="15">
      <c r="A332" s="28">
        <v>44159</v>
      </c>
      <c r="B332" s="56">
        <v>13298397500</v>
      </c>
      <c r="C332" s="56">
        <v>1525684000</v>
      </c>
      <c r="D332" s="56">
        <v>0</v>
      </c>
      <c r="E332" s="56">
        <v>0</v>
      </c>
      <c r="F332" s="29">
        <f t="shared" si="60"/>
        <v>14824081500</v>
      </c>
      <c r="G332" s="56">
        <f t="shared" si="48"/>
        <v>4002502</v>
      </c>
      <c r="H332" s="57">
        <v>7971075000</v>
      </c>
      <c r="I332" s="57">
        <v>6400000000</v>
      </c>
      <c r="J332" s="58">
        <f t="shared" si="56"/>
        <v>14371075000</v>
      </c>
      <c r="K332" s="31"/>
      <c r="L332" s="57">
        <v>534724000</v>
      </c>
      <c r="M332" s="57"/>
      <c r="N332" s="58">
        <f t="shared" si="57"/>
        <v>534724000</v>
      </c>
      <c r="O332" s="57">
        <v>1138544100</v>
      </c>
      <c r="P332" s="57"/>
      <c r="Q332" s="58">
        <f t="shared" si="58"/>
        <v>1138544100</v>
      </c>
      <c r="R332" s="57">
        <v>6700400</v>
      </c>
      <c r="S332" s="57"/>
      <c r="T332" s="57"/>
      <c r="U332" s="57">
        <v>2854193200</v>
      </c>
      <c r="V332" s="57"/>
      <c r="W332" s="57">
        <f t="shared" si="59"/>
        <v>2854193200</v>
      </c>
      <c r="X332" s="58"/>
      <c r="Y332" s="58"/>
      <c r="Z332" s="58"/>
      <c r="AA332" s="58"/>
      <c r="AB332" s="58"/>
      <c r="AC332" s="58"/>
      <c r="AD332" s="58"/>
      <c r="AE332" s="58"/>
      <c r="AF332" s="58"/>
      <c r="AG332" s="58"/>
      <c r="AH332" s="58"/>
      <c r="AI332" s="58"/>
      <c r="AJ332" s="32">
        <f t="shared" si="61"/>
        <v>2708550</v>
      </c>
      <c r="AK332" s="59">
        <f>622650*0.3</f>
        <v>186795</v>
      </c>
      <c r="AL332" s="34">
        <v>44159</v>
      </c>
      <c r="AM332" s="34">
        <v>192</v>
      </c>
      <c r="AN332" s="34">
        <f>1422*2550</f>
        <v>3626100</v>
      </c>
      <c r="AO332" s="60">
        <f t="shared" si="52"/>
        <v>518400</v>
      </c>
      <c r="AP332" s="59">
        <v>600000</v>
      </c>
      <c r="AQ332" s="55">
        <v>28468286471216</v>
      </c>
      <c r="AR332" s="55">
        <v>81205033200</v>
      </c>
      <c r="AS332" s="55">
        <v>22917757000</v>
      </c>
      <c r="AT332" s="55">
        <v>37731807200</v>
      </c>
      <c r="AU332" s="55">
        <v>11642347</v>
      </c>
      <c r="AV332" s="99">
        <v>2142325068</v>
      </c>
    </row>
    <row r="333" spans="1:48" ht="15">
      <c r="A333" s="28">
        <v>44160</v>
      </c>
      <c r="B333" s="56">
        <v>25217529000</v>
      </c>
      <c r="C333" s="56">
        <v>1899915000</v>
      </c>
      <c r="D333" s="56">
        <v>0</v>
      </c>
      <c r="E333" s="56">
        <v>0</v>
      </c>
      <c r="F333" s="29">
        <f t="shared" si="60"/>
        <v>27117444000</v>
      </c>
      <c r="G333" s="56">
        <f t="shared" si="48"/>
        <v>7321710</v>
      </c>
      <c r="H333" s="57">
        <v>2917731300</v>
      </c>
      <c r="I333" s="57">
        <v>14506000000</v>
      </c>
      <c r="J333" s="58">
        <f t="shared" si="56"/>
        <v>17423731300</v>
      </c>
      <c r="K333" s="31"/>
      <c r="L333" s="57">
        <v>7460000</v>
      </c>
      <c r="M333" s="57"/>
      <c r="N333" s="58">
        <f t="shared" si="57"/>
        <v>7460000</v>
      </c>
      <c r="O333" s="57"/>
      <c r="P333" s="57"/>
      <c r="Q333" s="58">
        <f t="shared" si="58"/>
        <v>0</v>
      </c>
      <c r="R333" s="57">
        <v>40309700</v>
      </c>
      <c r="S333" s="57"/>
      <c r="T333" s="57"/>
      <c r="U333" s="57">
        <v>1234626900</v>
      </c>
      <c r="V333" s="57">
        <v>2170380000</v>
      </c>
      <c r="W333" s="57">
        <f t="shared" si="59"/>
        <v>3405006900</v>
      </c>
      <c r="X333" s="58"/>
      <c r="Y333" s="58"/>
      <c r="Z333" s="58"/>
      <c r="AA333" s="58"/>
      <c r="AB333" s="58"/>
      <c r="AC333" s="58"/>
      <c r="AD333" s="58"/>
      <c r="AE333" s="58"/>
      <c r="AF333" s="58"/>
      <c r="AG333" s="58"/>
      <c r="AH333" s="58"/>
      <c r="AI333" s="58"/>
      <c r="AJ333" s="32">
        <f t="shared" si="61"/>
        <v>3547158</v>
      </c>
      <c r="AK333" s="59">
        <f>494620*0.3</f>
        <v>148386</v>
      </c>
      <c r="AL333" s="34">
        <v>44160</v>
      </c>
      <c r="AM333" s="34">
        <v>310</v>
      </c>
      <c r="AN333" s="34">
        <f>1646*2550</f>
        <v>4197300</v>
      </c>
      <c r="AO333" s="60">
        <f t="shared" si="52"/>
        <v>837000</v>
      </c>
      <c r="AP333" s="59">
        <v>600000</v>
      </c>
      <c r="AQ333" s="55">
        <v>25308598900424</v>
      </c>
      <c r="AR333" s="55">
        <v>73822463000</v>
      </c>
      <c r="AS333" s="55">
        <v>35930887900</v>
      </c>
      <c r="AT333" s="55">
        <v>63048331900</v>
      </c>
      <c r="AU333" s="55">
        <v>16651554</v>
      </c>
      <c r="AV333" s="99">
        <v>2158976622</v>
      </c>
    </row>
    <row r="334" spans="1:48" ht="15.75" thickBot="1">
      <c r="A334" s="28">
        <v>44161</v>
      </c>
      <c r="B334" s="56">
        <v>23600689500</v>
      </c>
      <c r="C334" s="56">
        <v>1514182000</v>
      </c>
      <c r="D334" s="56">
        <v>0</v>
      </c>
      <c r="E334" s="56">
        <v>0</v>
      </c>
      <c r="F334" s="29">
        <f t="shared" si="60"/>
        <v>25114871500</v>
      </c>
      <c r="G334" s="56">
        <f t="shared" si="48"/>
        <v>6781015</v>
      </c>
      <c r="H334" s="57">
        <v>9728256800</v>
      </c>
      <c r="I334" s="57">
        <v>19315700000</v>
      </c>
      <c r="J334" s="58">
        <f t="shared" si="56"/>
        <v>29043956800</v>
      </c>
      <c r="K334" s="31"/>
      <c r="L334" s="57">
        <v>500361200</v>
      </c>
      <c r="M334" s="57">
        <v>2999000000</v>
      </c>
      <c r="N334" s="58">
        <f t="shared" si="57"/>
        <v>3499361200</v>
      </c>
      <c r="O334" s="57">
        <v>550797600</v>
      </c>
      <c r="P334" s="57"/>
      <c r="Q334" s="58">
        <f t="shared" si="58"/>
        <v>550797600</v>
      </c>
      <c r="R334" s="57">
        <v>1311576100</v>
      </c>
      <c r="S334" s="57"/>
      <c r="T334" s="57"/>
      <c r="U334" s="57">
        <v>2288303800</v>
      </c>
      <c r="V334" s="57"/>
      <c r="W334" s="57">
        <f t="shared" si="59"/>
        <v>2288303800</v>
      </c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  <c r="AJ334" s="32">
        <f t="shared" si="61"/>
        <v>5828801</v>
      </c>
      <c r="AK334" s="59">
        <f>1140930*0.3</f>
        <v>342279</v>
      </c>
      <c r="AL334" s="34">
        <v>44161</v>
      </c>
      <c r="AM334" s="34">
        <v>435</v>
      </c>
      <c r="AN334" s="34">
        <f>1903*2550</f>
        <v>4852650</v>
      </c>
      <c r="AO334" s="60">
        <f t="shared" si="52"/>
        <v>1174500</v>
      </c>
      <c r="AP334" s="59">
        <v>600000</v>
      </c>
      <c r="AQ334" s="55">
        <v>24253613184928</v>
      </c>
      <c r="AR334" s="55">
        <v>229914387400</v>
      </c>
      <c r="AS334" s="55">
        <v>52969194200</v>
      </c>
      <c r="AT334" s="55">
        <v>78084065700</v>
      </c>
      <c r="AU334" s="55">
        <v>19579245</v>
      </c>
      <c r="AV334" s="99">
        <v>2178555867</v>
      </c>
    </row>
    <row r="335" spans="1:48" ht="15">
      <c r="A335" s="35">
        <v>44162</v>
      </c>
      <c r="B335" s="61">
        <v>2920000</v>
      </c>
      <c r="C335" s="61">
        <v>0</v>
      </c>
      <c r="D335" s="61">
        <v>0</v>
      </c>
      <c r="E335" s="61">
        <v>0</v>
      </c>
      <c r="F335" s="36">
        <f>B335+C335+D335+E335</f>
        <v>2920000</v>
      </c>
      <c r="G335" s="61">
        <f t="shared" si="48"/>
        <v>788</v>
      </c>
      <c r="H335" s="37">
        <v>4451693800</v>
      </c>
      <c r="I335" s="37"/>
      <c r="J335" s="37">
        <v>4451693800</v>
      </c>
      <c r="K335" s="37"/>
      <c r="L335" s="62">
        <f>N335-M335</f>
        <v>752151800</v>
      </c>
      <c r="M335" s="62">
        <v>1504000000</v>
      </c>
      <c r="N335" s="62">
        <v>2256151800</v>
      </c>
      <c r="O335" s="62">
        <v>372974500</v>
      </c>
      <c r="P335" s="37"/>
      <c r="Q335" s="62">
        <f t="shared" si="58"/>
        <v>372974500</v>
      </c>
      <c r="R335" s="62">
        <v>1624600</v>
      </c>
      <c r="S335" s="62"/>
      <c r="T335" s="62"/>
      <c r="U335" s="62">
        <v>734375300</v>
      </c>
      <c r="V335" s="62"/>
      <c r="W335" s="62">
        <f t="shared" si="59"/>
        <v>734375300</v>
      </c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37">
        <f t="shared" si="61"/>
        <v>1005497</v>
      </c>
      <c r="AK335" s="63">
        <f>78030*0.3</f>
        <v>23409</v>
      </c>
      <c r="AL335" s="39">
        <v>44162</v>
      </c>
      <c r="AM335" s="39">
        <v>79</v>
      </c>
      <c r="AN335" s="39">
        <f>1962*2550*3</f>
        <v>15009300</v>
      </c>
      <c r="AO335" s="64">
        <f t="shared" si="52"/>
        <v>213300</v>
      </c>
      <c r="AP335" s="38"/>
      <c r="AQ335" s="55">
        <v>22341402938560</v>
      </c>
      <c r="AR335" s="55">
        <v>474768044400</v>
      </c>
      <c r="AS335" s="55">
        <v>9113946000</v>
      </c>
      <c r="AT335" s="55">
        <v>9116866000</v>
      </c>
      <c r="AU335" s="55">
        <v>16252294</v>
      </c>
      <c r="AV335" s="99">
        <v>2194808161</v>
      </c>
    </row>
    <row r="336" spans="1:48" ht="15">
      <c r="A336" s="28">
        <v>44165</v>
      </c>
      <c r="B336" s="56">
        <v>12127114000</v>
      </c>
      <c r="C336" s="56"/>
      <c r="D336" s="56"/>
      <c r="E336" s="56"/>
      <c r="F336" s="29">
        <f t="shared" ref="F336:F338" si="62">B336+C336+D336+E336</f>
        <v>12127114000</v>
      </c>
      <c r="G336" s="56">
        <f t="shared" ref="G336:G349" si="63">ROUND(F336*0.027%,0)</f>
        <v>3274321</v>
      </c>
      <c r="H336" s="31">
        <f>J336-I336</f>
        <v>233438700</v>
      </c>
      <c r="I336" s="57">
        <v>4478850000</v>
      </c>
      <c r="J336" s="31">
        <v>4712288700</v>
      </c>
      <c r="K336" s="31"/>
      <c r="L336" s="57">
        <v>3605024400</v>
      </c>
      <c r="M336" s="31">
        <v>0</v>
      </c>
      <c r="N336" s="57">
        <v>3605024400</v>
      </c>
      <c r="O336" s="57">
        <v>12032300</v>
      </c>
      <c r="P336" s="31"/>
      <c r="Q336" s="58">
        <f t="shared" si="58"/>
        <v>12032300</v>
      </c>
      <c r="R336" s="57">
        <v>3770000</v>
      </c>
      <c r="S336" s="57"/>
      <c r="T336" s="57"/>
      <c r="U336" s="57">
        <v>855611400</v>
      </c>
      <c r="V336" s="57"/>
      <c r="W336" s="31">
        <f t="shared" si="59"/>
        <v>855611400</v>
      </c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>
        <f t="shared" si="61"/>
        <v>1376735</v>
      </c>
      <c r="AK336" s="59">
        <f>669830*0.3</f>
        <v>200949</v>
      </c>
      <c r="AL336" s="42">
        <v>44165</v>
      </c>
      <c r="AM336" s="34">
        <v>204</v>
      </c>
      <c r="AN336" s="34">
        <f>1816*2550</f>
        <v>4630800</v>
      </c>
      <c r="AO336" s="60">
        <f t="shared" ref="AO336:AO359" si="64">AM336*2700</f>
        <v>550800</v>
      </c>
      <c r="AP336" s="59">
        <v>1600000</v>
      </c>
      <c r="AQ336" s="55">
        <v>26174095554208</v>
      </c>
      <c r="AR336" s="55">
        <v>649556865600</v>
      </c>
      <c r="AS336" s="55">
        <v>12041332800</v>
      </c>
      <c r="AT336" s="55">
        <v>24168446800</v>
      </c>
      <c r="AU336" s="55">
        <v>11633605</v>
      </c>
      <c r="AV336" s="99">
        <v>2206441766</v>
      </c>
    </row>
    <row r="337" spans="1:48" ht="15">
      <c r="A337" s="28">
        <v>44166</v>
      </c>
      <c r="B337" s="56">
        <v>26335589500</v>
      </c>
      <c r="C337" s="56"/>
      <c r="D337" s="56"/>
      <c r="E337" s="56"/>
      <c r="F337" s="29">
        <f t="shared" si="62"/>
        <v>26335589500</v>
      </c>
      <c r="G337" s="56">
        <f t="shared" si="63"/>
        <v>7110609</v>
      </c>
      <c r="H337" s="31">
        <f t="shared" ref="H337:H353" si="65">J337-I337</f>
        <v>4845854000</v>
      </c>
      <c r="I337" s="57">
        <v>3216000000</v>
      </c>
      <c r="J337" s="57">
        <v>8061854000</v>
      </c>
      <c r="K337" s="31"/>
      <c r="L337" s="57">
        <f>N337-M337</f>
        <v>2630186200</v>
      </c>
      <c r="M337" s="57">
        <v>4528000000</v>
      </c>
      <c r="N337" s="57">
        <v>7158186200</v>
      </c>
      <c r="O337" s="31">
        <v>1138000000</v>
      </c>
      <c r="P337" s="31"/>
      <c r="Q337" s="58">
        <f t="shared" si="58"/>
        <v>1138000000</v>
      </c>
      <c r="R337" s="57">
        <v>3755600</v>
      </c>
      <c r="S337" s="57"/>
      <c r="T337" s="57"/>
      <c r="U337" s="31">
        <v>240120700</v>
      </c>
      <c r="V337" s="31">
        <v>0</v>
      </c>
      <c r="W337" s="31">
        <f t="shared" si="59"/>
        <v>240120700</v>
      </c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>
        <f t="shared" si="61"/>
        <v>2368134</v>
      </c>
      <c r="AK337" s="59">
        <v>171102</v>
      </c>
      <c r="AL337" s="34">
        <v>44166</v>
      </c>
      <c r="AM337" s="34">
        <v>352</v>
      </c>
      <c r="AN337" s="34">
        <f>1932*2550</f>
        <v>4926600</v>
      </c>
      <c r="AO337" s="60">
        <f t="shared" si="64"/>
        <v>950400</v>
      </c>
      <c r="AP337" s="33"/>
      <c r="AQ337" s="55">
        <v>27569082108864</v>
      </c>
      <c r="AR337" s="55">
        <v>495706679200</v>
      </c>
      <c r="AS337" s="55">
        <v>16601916500</v>
      </c>
      <c r="AT337" s="55">
        <v>42937506000</v>
      </c>
      <c r="AU337" s="55">
        <v>15526845</v>
      </c>
      <c r="AV337" s="99">
        <v>2221968611</v>
      </c>
    </row>
    <row r="338" spans="1:48" ht="15">
      <c r="A338" s="28">
        <v>44167</v>
      </c>
      <c r="B338" s="56">
        <v>3600108500</v>
      </c>
      <c r="C338" s="56"/>
      <c r="D338" s="56"/>
      <c r="E338" s="56">
        <v>255322000</v>
      </c>
      <c r="F338" s="29">
        <f t="shared" si="62"/>
        <v>3855430500</v>
      </c>
      <c r="G338" s="56">
        <f t="shared" si="63"/>
        <v>1040966</v>
      </c>
      <c r="H338" s="31">
        <f t="shared" si="65"/>
        <v>6565870000</v>
      </c>
      <c r="I338" s="57">
        <v>14731500000</v>
      </c>
      <c r="J338" s="57">
        <v>21297370000</v>
      </c>
      <c r="K338" s="31"/>
      <c r="L338" s="57">
        <v>521146600</v>
      </c>
      <c r="M338" s="31">
        <v>0</v>
      </c>
      <c r="N338" s="57">
        <v>521146600</v>
      </c>
      <c r="O338" s="31">
        <v>632046600</v>
      </c>
      <c r="P338" s="57"/>
      <c r="Q338" s="58">
        <f t="shared" si="58"/>
        <v>632046600</v>
      </c>
      <c r="R338" s="57">
        <v>1273828600</v>
      </c>
      <c r="S338" s="57"/>
      <c r="T338" s="57"/>
      <c r="U338" s="31">
        <v>121500</v>
      </c>
      <c r="V338" s="31">
        <v>0</v>
      </c>
      <c r="W338" s="31">
        <f t="shared" si="59"/>
        <v>121500</v>
      </c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>
        <f t="shared" si="61"/>
        <v>3714640</v>
      </c>
      <c r="AK338" s="59">
        <v>36450</v>
      </c>
      <c r="AL338" s="34">
        <v>44167</v>
      </c>
      <c r="AM338" s="34">
        <v>280</v>
      </c>
      <c r="AN338" s="34">
        <f>2126*2550</f>
        <v>5421300</v>
      </c>
      <c r="AO338" s="60">
        <f t="shared" si="64"/>
        <v>756000</v>
      </c>
      <c r="AP338" s="33">
        <f>0.03%*E338</f>
        <v>76596.599999999991</v>
      </c>
      <c r="AQ338" s="55">
        <v>31796337668900</v>
      </c>
      <c r="AR338" s="55">
        <v>104788575000</v>
      </c>
      <c r="AS338" s="55">
        <v>38456264700</v>
      </c>
      <c r="AT338" s="55">
        <v>42311695200</v>
      </c>
      <c r="AU338" s="55">
        <v>11045952.6</v>
      </c>
      <c r="AV338" s="99">
        <v>2233014563.5999999</v>
      </c>
    </row>
    <row r="339" spans="1:48" ht="15">
      <c r="A339" s="28">
        <v>44168</v>
      </c>
      <c r="B339" s="56">
        <v>19178680000</v>
      </c>
      <c r="C339" s="56"/>
      <c r="D339" s="56"/>
      <c r="E339" s="56"/>
      <c r="F339" s="29">
        <f>B339+C339+D339+E339</f>
        <v>19178680000</v>
      </c>
      <c r="G339" s="56">
        <f t="shared" si="63"/>
        <v>5178244</v>
      </c>
      <c r="H339" s="31">
        <f t="shared" si="65"/>
        <v>5638313300</v>
      </c>
      <c r="I339" s="57">
        <v>11542500000</v>
      </c>
      <c r="J339" s="57">
        <v>17180813300</v>
      </c>
      <c r="K339" s="31"/>
      <c r="L339" s="57">
        <v>92496200</v>
      </c>
      <c r="M339" s="31">
        <v>0</v>
      </c>
      <c r="N339" s="57">
        <v>92496200</v>
      </c>
      <c r="O339" s="31">
        <v>748195300</v>
      </c>
      <c r="P339" s="31"/>
      <c r="Q339" s="58">
        <f t="shared" si="58"/>
        <v>748195300</v>
      </c>
      <c r="R339" s="57">
        <v>1517300</v>
      </c>
      <c r="S339" s="57"/>
      <c r="T339" s="57"/>
      <c r="U339" s="31">
        <v>1938700</v>
      </c>
      <c r="V339" s="31">
        <v>0</v>
      </c>
      <c r="W339" s="31">
        <f t="shared" si="59"/>
        <v>1938700</v>
      </c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>
        <f t="shared" si="61"/>
        <v>2778005</v>
      </c>
      <c r="AK339" s="59">
        <v>289410</v>
      </c>
      <c r="AL339" s="34">
        <v>44168</v>
      </c>
      <c r="AM339" s="34">
        <v>348</v>
      </c>
      <c r="AN339" s="34">
        <f>1928*2550</f>
        <v>4916400</v>
      </c>
      <c r="AO339" s="60">
        <f t="shared" si="64"/>
        <v>939600</v>
      </c>
      <c r="AP339" s="33"/>
      <c r="AQ339" s="55">
        <v>22928065997600</v>
      </c>
      <c r="AR339" s="55">
        <v>148734335600</v>
      </c>
      <c r="AS339" s="55">
        <v>21308960800</v>
      </c>
      <c r="AT339" s="55">
        <v>40487640800</v>
      </c>
      <c r="AU339" s="55">
        <v>14101659</v>
      </c>
      <c r="AV339" s="99">
        <v>2247116222.5999999</v>
      </c>
    </row>
    <row r="340" spans="1:48" ht="15">
      <c r="A340" s="41">
        <v>44169</v>
      </c>
      <c r="B340" s="65">
        <v>4855701000</v>
      </c>
      <c r="C340" s="65"/>
      <c r="D340" s="65"/>
      <c r="E340" s="65"/>
      <c r="F340" s="30">
        <f t="shared" ref="F340:F359" si="66">SUM(B340:E340)</f>
        <v>4855701000</v>
      </c>
      <c r="G340" s="65">
        <f t="shared" si="63"/>
        <v>1311039</v>
      </c>
      <c r="H340" s="32">
        <f t="shared" si="65"/>
        <v>3752865100</v>
      </c>
      <c r="I340" s="32">
        <v>0</v>
      </c>
      <c r="J340" s="58">
        <v>3752865100</v>
      </c>
      <c r="K340" s="32"/>
      <c r="L340" s="32">
        <f>N340-M340</f>
        <v>401685000</v>
      </c>
      <c r="M340" s="32">
        <v>0</v>
      </c>
      <c r="N340" s="58">
        <v>401685000</v>
      </c>
      <c r="O340" s="32">
        <f t="shared" ref="O340:O355" si="67">Q340-P340</f>
        <v>1148338500</v>
      </c>
      <c r="P340" s="32">
        <v>0</v>
      </c>
      <c r="Q340" s="58">
        <v>1148338500</v>
      </c>
      <c r="R340" s="58">
        <v>2038000</v>
      </c>
      <c r="S340" s="58"/>
      <c r="T340" s="58"/>
      <c r="U340" s="32">
        <f t="shared" ref="U340:U349" si="68">W340-V340</f>
        <v>121500</v>
      </c>
      <c r="V340" s="32">
        <v>0</v>
      </c>
      <c r="W340" s="58">
        <v>121500</v>
      </c>
      <c r="X340" s="58"/>
      <c r="Y340" s="58"/>
      <c r="Z340" s="58"/>
      <c r="AA340" s="58"/>
      <c r="AB340" s="58"/>
      <c r="AC340" s="58"/>
      <c r="AD340" s="58"/>
      <c r="AE340" s="58"/>
      <c r="AF340" s="58"/>
      <c r="AG340" s="58"/>
      <c r="AH340" s="58"/>
      <c r="AI340" s="58"/>
      <c r="AJ340" s="32">
        <f t="shared" si="61"/>
        <v>573101</v>
      </c>
      <c r="AK340" s="66">
        <v>54525</v>
      </c>
      <c r="AL340" s="42">
        <v>44169</v>
      </c>
      <c r="AM340" s="42">
        <v>114</v>
      </c>
      <c r="AN340" s="42">
        <f>1896*2550*3</f>
        <v>14504400</v>
      </c>
      <c r="AO340" s="116">
        <f t="shared" si="64"/>
        <v>307800</v>
      </c>
      <c r="AP340" s="46"/>
      <c r="AQ340" s="55">
        <v>25755293696890</v>
      </c>
      <c r="AR340" s="55">
        <v>135870579600</v>
      </c>
      <c r="AS340" s="55">
        <v>5305048100</v>
      </c>
      <c r="AT340" s="55">
        <v>10160749100</v>
      </c>
      <c r="AU340" s="55">
        <v>16750865</v>
      </c>
      <c r="AV340" s="99">
        <v>2263867087.5999999</v>
      </c>
    </row>
    <row r="341" spans="1:48" ht="15">
      <c r="A341" s="28">
        <v>44172</v>
      </c>
      <c r="B341" s="56">
        <v>6165456000</v>
      </c>
      <c r="C341" s="56">
        <v>1596102000</v>
      </c>
      <c r="D341" s="56">
        <v>356568000</v>
      </c>
      <c r="E341" s="56"/>
      <c r="F341" s="30">
        <f t="shared" si="66"/>
        <v>8118126000</v>
      </c>
      <c r="G341" s="65">
        <f t="shared" si="63"/>
        <v>2191894</v>
      </c>
      <c r="H341" s="57">
        <f t="shared" si="65"/>
        <v>8496545100</v>
      </c>
      <c r="I341" s="57">
        <v>3313000000</v>
      </c>
      <c r="J341" s="57">
        <v>11809545100</v>
      </c>
      <c r="K341" s="31"/>
      <c r="L341" s="32">
        <f t="shared" ref="L341:L344" si="69">N341-M341</f>
        <v>0</v>
      </c>
      <c r="M341" s="31">
        <v>0</v>
      </c>
      <c r="N341" s="31">
        <v>0</v>
      </c>
      <c r="O341" s="32">
        <f t="shared" si="67"/>
        <v>359450000</v>
      </c>
      <c r="P341" s="31">
        <v>0</v>
      </c>
      <c r="Q341" s="57">
        <v>359450000</v>
      </c>
      <c r="R341" s="57">
        <v>2542800</v>
      </c>
      <c r="S341" s="58"/>
      <c r="T341" s="58"/>
      <c r="U341" s="32">
        <f t="shared" si="68"/>
        <v>121700</v>
      </c>
      <c r="V341" s="31">
        <v>0</v>
      </c>
      <c r="W341" s="57">
        <v>121700</v>
      </c>
      <c r="X341" s="58"/>
      <c r="Y341" s="58"/>
      <c r="Z341" s="58"/>
      <c r="AA341" s="58"/>
      <c r="AB341" s="58"/>
      <c r="AC341" s="58"/>
      <c r="AD341" s="58"/>
      <c r="AE341" s="58"/>
      <c r="AF341" s="58"/>
      <c r="AG341" s="58"/>
      <c r="AH341" s="58"/>
      <c r="AI341" s="58"/>
      <c r="AJ341" s="32">
        <f t="shared" si="61"/>
        <v>1553267</v>
      </c>
      <c r="AK341" s="59">
        <v>53493</v>
      </c>
      <c r="AL341" s="34">
        <v>44172</v>
      </c>
      <c r="AM341" s="34">
        <v>198</v>
      </c>
      <c r="AN341" s="34">
        <f>1926*2550</f>
        <v>4911300</v>
      </c>
      <c r="AO341" s="60">
        <f t="shared" si="64"/>
        <v>534600</v>
      </c>
      <c r="AP341" s="59">
        <f>600000+100000</f>
        <v>700000</v>
      </c>
      <c r="AQ341" s="55">
        <v>22990990483188</v>
      </c>
      <c r="AR341" s="55">
        <v>125959372800</v>
      </c>
      <c r="AS341" s="55">
        <v>15484659600</v>
      </c>
      <c r="AT341" s="55">
        <v>23602785600</v>
      </c>
      <c r="AU341" s="55">
        <v>9944554</v>
      </c>
      <c r="AV341" s="99">
        <v>2273811641.5999999</v>
      </c>
    </row>
    <row r="342" spans="1:48" ht="15">
      <c r="A342" s="28">
        <v>44173</v>
      </c>
      <c r="B342" s="56">
        <v>19869535800</v>
      </c>
      <c r="C342" s="56"/>
      <c r="D342" s="56"/>
      <c r="E342" s="56"/>
      <c r="F342" s="30">
        <f t="shared" si="66"/>
        <v>19869535800</v>
      </c>
      <c r="G342" s="65">
        <f t="shared" si="63"/>
        <v>5364775</v>
      </c>
      <c r="H342" s="57">
        <f t="shared" si="65"/>
        <v>868342700</v>
      </c>
      <c r="I342" s="57">
        <v>11653000000</v>
      </c>
      <c r="J342" s="57">
        <v>12521342700</v>
      </c>
      <c r="K342" s="31"/>
      <c r="L342" s="32">
        <f t="shared" si="69"/>
        <v>856074500</v>
      </c>
      <c r="M342" s="31">
        <v>0</v>
      </c>
      <c r="N342" s="57">
        <v>856074500</v>
      </c>
      <c r="O342" s="32">
        <f t="shared" si="67"/>
        <v>72340000</v>
      </c>
      <c r="P342" s="31">
        <v>0</v>
      </c>
      <c r="Q342" s="57">
        <v>72340000</v>
      </c>
      <c r="R342" s="57">
        <v>52209000</v>
      </c>
      <c r="S342" s="58"/>
      <c r="T342" s="58"/>
      <c r="U342" s="32">
        <f t="shared" si="68"/>
        <v>245494800</v>
      </c>
      <c r="V342" s="31">
        <v>0</v>
      </c>
      <c r="W342" s="57">
        <v>245494800</v>
      </c>
      <c r="X342" s="58"/>
      <c r="Y342" s="58"/>
      <c r="Z342" s="58"/>
      <c r="AA342" s="58"/>
      <c r="AB342" s="58"/>
      <c r="AC342" s="58"/>
      <c r="AD342" s="58"/>
      <c r="AE342" s="58"/>
      <c r="AF342" s="58"/>
      <c r="AG342" s="58"/>
      <c r="AH342" s="58"/>
      <c r="AI342" s="58"/>
      <c r="AJ342" s="32">
        <f t="shared" si="61"/>
        <v>2345176</v>
      </c>
      <c r="AK342" s="59">
        <v>249939</v>
      </c>
      <c r="AL342" s="34">
        <v>44173</v>
      </c>
      <c r="AM342" s="34">
        <v>309</v>
      </c>
      <c r="AN342" s="34">
        <f>1753*2550</f>
        <v>4470150</v>
      </c>
      <c r="AO342" s="60">
        <f t="shared" si="64"/>
        <v>834300</v>
      </c>
      <c r="AP342" s="59"/>
      <c r="AQ342" s="55">
        <v>24423983955042</v>
      </c>
      <c r="AR342" s="55">
        <v>253932250400</v>
      </c>
      <c r="AS342" s="55">
        <v>18738710800</v>
      </c>
      <c r="AT342" s="55">
        <v>38608246600</v>
      </c>
      <c r="AU342" s="55">
        <v>13264340</v>
      </c>
      <c r="AV342" s="99">
        <v>2287075981.5999999</v>
      </c>
    </row>
    <row r="343" spans="1:48" ht="15">
      <c r="A343" s="28">
        <v>44174</v>
      </c>
      <c r="B343" s="56">
        <v>25746226000</v>
      </c>
      <c r="C343" s="56">
        <v>2410934000</v>
      </c>
      <c r="D343" s="56"/>
      <c r="E343" s="56"/>
      <c r="F343" s="30">
        <f t="shared" si="66"/>
        <v>28157160000</v>
      </c>
      <c r="G343" s="65">
        <f t="shared" si="63"/>
        <v>7602433</v>
      </c>
      <c r="H343" s="57">
        <f t="shared" si="65"/>
        <v>817280200</v>
      </c>
      <c r="I343" s="57">
        <v>43717600000</v>
      </c>
      <c r="J343" s="57">
        <v>44534880200</v>
      </c>
      <c r="K343" s="31"/>
      <c r="L343" s="32">
        <f t="shared" si="69"/>
        <v>111835200</v>
      </c>
      <c r="M343" s="31">
        <v>0</v>
      </c>
      <c r="N343" s="57">
        <v>111835200</v>
      </c>
      <c r="O343" s="32">
        <f t="shared" si="67"/>
        <v>54043200</v>
      </c>
      <c r="P343" s="31">
        <v>0</v>
      </c>
      <c r="Q343" s="57">
        <v>54043200</v>
      </c>
      <c r="R343" s="57">
        <v>1286300</v>
      </c>
      <c r="S343" s="58"/>
      <c r="T343" s="58"/>
      <c r="U343" s="32">
        <f t="shared" si="68"/>
        <v>981428600</v>
      </c>
      <c r="V343" s="31">
        <v>0</v>
      </c>
      <c r="W343" s="57">
        <v>981428600</v>
      </c>
      <c r="X343" s="58"/>
      <c r="Y343" s="58"/>
      <c r="Z343" s="58"/>
      <c r="AA343" s="58"/>
      <c r="AB343" s="58"/>
      <c r="AC343" s="58"/>
      <c r="AD343" s="58"/>
      <c r="AE343" s="58"/>
      <c r="AF343" s="58"/>
      <c r="AG343" s="58"/>
      <c r="AH343" s="58"/>
      <c r="AI343" s="58"/>
      <c r="AJ343" s="32">
        <f t="shared" si="61"/>
        <v>8152238</v>
      </c>
      <c r="AK343" s="59">
        <v>366690</v>
      </c>
      <c r="AL343" s="34">
        <v>44174</v>
      </c>
      <c r="AM343" s="34">
        <v>284</v>
      </c>
      <c r="AN343" s="34">
        <f>1713*2250</f>
        <v>3854250</v>
      </c>
      <c r="AO343" s="60">
        <f t="shared" si="64"/>
        <v>766800</v>
      </c>
      <c r="AP343" s="59">
        <v>600000</v>
      </c>
      <c r="AQ343" s="55">
        <v>26911769622344</v>
      </c>
      <c r="AR343" s="55">
        <v>169624262400</v>
      </c>
      <c r="AS343" s="55">
        <v>67905747400</v>
      </c>
      <c r="AT343" s="55">
        <v>96062907400</v>
      </c>
      <c r="AU343" s="55">
        <v>21342411</v>
      </c>
      <c r="AV343" s="99">
        <v>2308418392.5999999</v>
      </c>
    </row>
    <row r="344" spans="1:48" ht="15">
      <c r="A344" s="50">
        <v>44175</v>
      </c>
      <c r="B344" s="118">
        <v>13490109000</v>
      </c>
      <c r="C344" s="118">
        <v>1349247500</v>
      </c>
      <c r="D344" s="118"/>
      <c r="E344" s="118"/>
      <c r="F344" s="119">
        <f t="shared" si="66"/>
        <v>14839356500</v>
      </c>
      <c r="G344" s="120">
        <f t="shared" si="63"/>
        <v>4006626</v>
      </c>
      <c r="H344" s="121">
        <f t="shared" si="65"/>
        <v>1973921200</v>
      </c>
      <c r="I344" s="121">
        <v>16848000000</v>
      </c>
      <c r="J344" s="121">
        <v>18821921200</v>
      </c>
      <c r="K344" s="121"/>
      <c r="L344" s="121">
        <f t="shared" si="69"/>
        <v>1968131700</v>
      </c>
      <c r="M344" s="121">
        <v>0</v>
      </c>
      <c r="N344" s="121">
        <v>1968131700</v>
      </c>
      <c r="O344" s="121">
        <f t="shared" si="67"/>
        <v>56950800</v>
      </c>
      <c r="P344" s="121">
        <v>0</v>
      </c>
      <c r="Q344" s="121">
        <v>56950800</v>
      </c>
      <c r="R344" s="121">
        <v>35469200</v>
      </c>
      <c r="S344" s="121"/>
      <c r="T344" s="121"/>
      <c r="U344" s="121">
        <f t="shared" si="68"/>
        <v>123500</v>
      </c>
      <c r="V344" s="121">
        <v>0</v>
      </c>
      <c r="W344" s="121">
        <v>123500</v>
      </c>
      <c r="X344" s="122"/>
      <c r="Y344" s="122"/>
      <c r="Z344" s="122"/>
      <c r="AA344" s="122"/>
      <c r="AB344" s="122"/>
      <c r="AC344" s="122"/>
      <c r="AD344" s="122"/>
      <c r="AE344" s="122"/>
      <c r="AF344" s="122"/>
      <c r="AG344" s="122"/>
      <c r="AH344" s="122"/>
      <c r="AI344" s="122"/>
      <c r="AJ344" s="123">
        <f t="shared" si="61"/>
        <v>3470939</v>
      </c>
      <c r="AK344" s="124">
        <v>378810</v>
      </c>
      <c r="AL344" s="54">
        <v>44175</v>
      </c>
      <c r="AM344" s="125">
        <v>415</v>
      </c>
      <c r="AN344" s="54">
        <f>1868*2550</f>
        <v>4763400</v>
      </c>
      <c r="AO344" s="125">
        <f t="shared" si="64"/>
        <v>1120500</v>
      </c>
      <c r="AP344" s="124">
        <v>500000</v>
      </c>
      <c r="AQ344" s="55">
        <v>31551673749776</v>
      </c>
      <c r="AR344" s="55">
        <v>290214626400</v>
      </c>
      <c r="AS344" s="55">
        <v>39425651000</v>
      </c>
      <c r="AT344" s="55">
        <v>54265007500</v>
      </c>
      <c r="AU344" s="55">
        <v>14240275</v>
      </c>
      <c r="AV344" s="99">
        <v>2322658667.5999999</v>
      </c>
    </row>
    <row r="345" spans="1:48" ht="15">
      <c r="A345" s="41">
        <v>44176</v>
      </c>
      <c r="B345" s="65">
        <v>10158739500</v>
      </c>
      <c r="C345" s="65"/>
      <c r="D345" s="65"/>
      <c r="E345" s="65"/>
      <c r="F345" s="65">
        <f t="shared" si="66"/>
        <v>10158739500</v>
      </c>
      <c r="G345" s="65">
        <f t="shared" si="63"/>
        <v>2742860</v>
      </c>
      <c r="H345" s="58">
        <f t="shared" si="65"/>
        <v>42691200</v>
      </c>
      <c r="I345" s="58">
        <v>6692000000</v>
      </c>
      <c r="J345" s="58">
        <v>6734691200</v>
      </c>
      <c r="K345" s="58"/>
      <c r="L345" s="58">
        <f>N345-M345</f>
        <v>1582918100</v>
      </c>
      <c r="M345" s="58">
        <v>1567000000</v>
      </c>
      <c r="N345" s="58">
        <v>3149918100</v>
      </c>
      <c r="O345" s="58">
        <f t="shared" si="67"/>
        <v>246500</v>
      </c>
      <c r="P345" s="58">
        <v>0</v>
      </c>
      <c r="Q345" s="58">
        <v>246500</v>
      </c>
      <c r="R345" s="58">
        <v>9406100</v>
      </c>
      <c r="S345" s="58"/>
      <c r="T345" s="58"/>
      <c r="U345" s="58">
        <f t="shared" si="68"/>
        <v>22771100</v>
      </c>
      <c r="V345" s="58">
        <v>0</v>
      </c>
      <c r="W345" s="58">
        <v>22771100</v>
      </c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32">
        <f t="shared" si="61"/>
        <v>1668004</v>
      </c>
      <c r="AK345" s="66">
        <v>22731</v>
      </c>
      <c r="AL345" s="42">
        <v>44176</v>
      </c>
      <c r="AM345" s="116">
        <v>486</v>
      </c>
      <c r="AN345" s="42">
        <f>1972*2550*3</f>
        <v>15085800</v>
      </c>
      <c r="AO345" s="116">
        <f t="shared" si="64"/>
        <v>1312200</v>
      </c>
      <c r="AP345" s="66"/>
      <c r="AQ345" s="55">
        <v>24527309927100</v>
      </c>
      <c r="AR345" s="55">
        <v>461131679800</v>
      </c>
      <c r="AS345" s="55">
        <v>18298976500</v>
      </c>
      <c r="AT345" s="55">
        <v>28457716000</v>
      </c>
      <c r="AU345" s="55">
        <v>20831595</v>
      </c>
      <c r="AV345" s="99">
        <v>2343490262.5999999</v>
      </c>
    </row>
    <row r="346" spans="1:48" ht="15">
      <c r="A346" s="41">
        <v>44179</v>
      </c>
      <c r="B346" s="56">
        <v>5745374000</v>
      </c>
      <c r="C346" s="56"/>
      <c r="D346" s="56"/>
      <c r="E346" s="56"/>
      <c r="F346" s="65">
        <f t="shared" si="66"/>
        <v>5745374000</v>
      </c>
      <c r="G346" s="65">
        <f t="shared" si="63"/>
        <v>1551251</v>
      </c>
      <c r="H346" s="57">
        <f t="shared" si="65"/>
        <v>5967339400</v>
      </c>
      <c r="I346" s="57">
        <v>15330500000</v>
      </c>
      <c r="J346" s="57">
        <v>21297839400</v>
      </c>
      <c r="K346" s="57"/>
      <c r="L346" s="58">
        <f t="shared" ref="L346:L349" si="70">N346-M346</f>
        <v>1085460000</v>
      </c>
      <c r="M346" s="57">
        <v>0</v>
      </c>
      <c r="N346" s="57">
        <v>1085460000</v>
      </c>
      <c r="O346" s="58">
        <f t="shared" si="67"/>
        <v>105163800</v>
      </c>
      <c r="P346" s="57">
        <v>0</v>
      </c>
      <c r="Q346" s="57">
        <v>105163800</v>
      </c>
      <c r="R346" s="57">
        <v>45648300</v>
      </c>
      <c r="S346" s="58"/>
      <c r="T346" s="58"/>
      <c r="U346" s="58">
        <f t="shared" si="68"/>
        <v>145315300</v>
      </c>
      <c r="V346" s="57">
        <v>0</v>
      </c>
      <c r="W346" s="57">
        <v>145315300</v>
      </c>
      <c r="X346" s="58"/>
      <c r="Y346" s="58"/>
      <c r="Z346" s="58"/>
      <c r="AA346" s="58"/>
      <c r="AB346" s="58"/>
      <c r="AC346" s="58"/>
      <c r="AD346" s="58"/>
      <c r="AE346" s="58"/>
      <c r="AF346" s="58"/>
      <c r="AG346" s="58"/>
      <c r="AH346" s="58"/>
      <c r="AI346" s="58"/>
      <c r="AJ346" s="32">
        <f t="shared" si="61"/>
        <v>3566923</v>
      </c>
      <c r="AK346" s="59">
        <v>216843</v>
      </c>
      <c r="AL346" s="34">
        <v>44179</v>
      </c>
      <c r="AM346" s="60">
        <v>582</v>
      </c>
      <c r="AN346" s="34">
        <f>1956*2550</f>
        <v>4987800</v>
      </c>
      <c r="AO346" s="116">
        <f t="shared" si="64"/>
        <v>1571400</v>
      </c>
      <c r="AP346" s="59"/>
      <c r="AQ346" s="55">
        <v>32694798159716</v>
      </c>
      <c r="AR346" s="55">
        <v>548355580680</v>
      </c>
      <c r="AS346" s="55">
        <v>35793145400</v>
      </c>
      <c r="AT346" s="55">
        <v>41538519400</v>
      </c>
      <c r="AU346" s="55">
        <v>11894217</v>
      </c>
      <c r="AV346" s="99">
        <v>2355384479.5999999</v>
      </c>
    </row>
    <row r="347" spans="1:48" ht="15">
      <c r="A347" s="41">
        <v>44180</v>
      </c>
      <c r="B347" s="56">
        <v>0</v>
      </c>
      <c r="C347" s="56"/>
      <c r="D347" s="56"/>
      <c r="E347" s="56"/>
      <c r="F347" s="65">
        <f t="shared" si="66"/>
        <v>0</v>
      </c>
      <c r="G347" s="65">
        <f t="shared" si="63"/>
        <v>0</v>
      </c>
      <c r="H347" s="57">
        <f t="shared" si="65"/>
        <v>2878816400</v>
      </c>
      <c r="I347" s="57">
        <v>24768290000</v>
      </c>
      <c r="J347" s="57">
        <v>27647106400</v>
      </c>
      <c r="K347" s="57"/>
      <c r="L347" s="58">
        <f t="shared" si="70"/>
        <v>0</v>
      </c>
      <c r="M347" s="57">
        <v>0</v>
      </c>
      <c r="N347" s="57">
        <v>0</v>
      </c>
      <c r="O347" s="58">
        <f t="shared" si="67"/>
        <v>0</v>
      </c>
      <c r="P347" s="57">
        <v>0</v>
      </c>
      <c r="Q347" s="57">
        <v>0</v>
      </c>
      <c r="R347" s="57">
        <v>69444900</v>
      </c>
      <c r="S347" s="58"/>
      <c r="T347" s="58"/>
      <c r="U347" s="58">
        <f t="shared" si="68"/>
        <v>43132600</v>
      </c>
      <c r="V347" s="57">
        <v>0</v>
      </c>
      <c r="W347" s="57">
        <v>43132600</v>
      </c>
      <c r="X347" s="58"/>
      <c r="Y347" s="58"/>
      <c r="Z347" s="58"/>
      <c r="AA347" s="58"/>
      <c r="AB347" s="58"/>
      <c r="AC347" s="58"/>
      <c r="AD347" s="58"/>
      <c r="AE347" s="58"/>
      <c r="AF347" s="58"/>
      <c r="AG347" s="58"/>
      <c r="AH347" s="58"/>
      <c r="AI347" s="58"/>
      <c r="AJ347" s="32">
        <f t="shared" si="61"/>
        <v>4789468</v>
      </c>
      <c r="AK347" s="59">
        <v>216438</v>
      </c>
      <c r="AL347" s="34">
        <v>44180</v>
      </c>
      <c r="AM347" s="60">
        <v>1612</v>
      </c>
      <c r="AN347" s="34">
        <f>1998*2550</f>
        <v>5094900</v>
      </c>
      <c r="AO347" s="116">
        <f t="shared" si="64"/>
        <v>4352400</v>
      </c>
      <c r="AP347" s="59"/>
      <c r="AQ347" s="55">
        <v>31948122213598</v>
      </c>
      <c r="AR347" s="55">
        <v>515801631400</v>
      </c>
      <c r="AS347" s="55">
        <v>42251527900</v>
      </c>
      <c r="AT347" s="55">
        <v>42251527900</v>
      </c>
      <c r="AU347" s="55">
        <v>14453206</v>
      </c>
      <c r="AV347" s="99">
        <v>2369837685.5999999</v>
      </c>
    </row>
    <row r="348" spans="1:48" ht="15">
      <c r="A348" s="41">
        <v>44181</v>
      </c>
      <c r="B348" s="56">
        <v>2420867000</v>
      </c>
      <c r="C348" s="56"/>
      <c r="D348" s="56"/>
      <c r="E348" s="56"/>
      <c r="F348" s="65">
        <f t="shared" si="66"/>
        <v>2420867000</v>
      </c>
      <c r="G348" s="65">
        <f t="shared" si="63"/>
        <v>653634</v>
      </c>
      <c r="H348" s="57">
        <f t="shared" si="65"/>
        <v>1806243400</v>
      </c>
      <c r="I348" s="57">
        <v>8589500000</v>
      </c>
      <c r="J348" s="57">
        <v>10395743400</v>
      </c>
      <c r="K348" s="57"/>
      <c r="L348" s="58">
        <f t="shared" si="70"/>
        <v>1359624900</v>
      </c>
      <c r="M348" s="57">
        <v>0</v>
      </c>
      <c r="N348" s="57">
        <v>1359624900</v>
      </c>
      <c r="O348" s="58">
        <f t="shared" si="67"/>
        <v>497090800</v>
      </c>
      <c r="P348" s="57"/>
      <c r="Q348" s="57">
        <v>497090800</v>
      </c>
      <c r="R348" s="57">
        <v>7680000</v>
      </c>
      <c r="S348" s="58"/>
      <c r="T348" s="58"/>
      <c r="U348" s="58">
        <f t="shared" si="68"/>
        <v>658858800</v>
      </c>
      <c r="V348" s="57">
        <v>1652300000</v>
      </c>
      <c r="W348" s="57">
        <v>2311158800</v>
      </c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32">
        <f t="shared" si="61"/>
        <v>2359101</v>
      </c>
      <c r="AK348" s="59">
        <v>112452</v>
      </c>
      <c r="AL348" s="34">
        <v>44181</v>
      </c>
      <c r="AM348" s="60">
        <v>639</v>
      </c>
      <c r="AN348" s="34">
        <f>1703*2550</f>
        <v>4342650</v>
      </c>
      <c r="AO348" s="116">
        <f t="shared" si="64"/>
        <v>1725300</v>
      </c>
      <c r="AP348" s="59"/>
      <c r="AQ348" s="55">
        <v>27628301665998</v>
      </c>
      <c r="AR348" s="55">
        <v>213378102800</v>
      </c>
      <c r="AS348" s="55">
        <v>24813552500</v>
      </c>
      <c r="AT348" s="55">
        <v>27234419500</v>
      </c>
      <c r="AU348" s="55">
        <v>9193137</v>
      </c>
      <c r="AV348" s="99">
        <v>2379030822.5999999</v>
      </c>
    </row>
    <row r="349" spans="1:48" ht="15">
      <c r="A349" s="41">
        <v>44182</v>
      </c>
      <c r="B349" s="56">
        <v>19829539000</v>
      </c>
      <c r="C349" s="56">
        <v>5617813500</v>
      </c>
      <c r="D349" s="56"/>
      <c r="E349" s="56"/>
      <c r="F349" s="65">
        <f t="shared" si="66"/>
        <v>25447352500</v>
      </c>
      <c r="G349" s="65">
        <f t="shared" si="63"/>
        <v>6870785</v>
      </c>
      <c r="H349" s="57">
        <f t="shared" si="65"/>
        <v>0</v>
      </c>
      <c r="I349" s="57">
        <v>59350700000</v>
      </c>
      <c r="J349" s="57">
        <v>59350700000</v>
      </c>
      <c r="K349" s="57"/>
      <c r="L349" s="58">
        <f t="shared" si="70"/>
        <v>88156900</v>
      </c>
      <c r="M349" s="57">
        <v>8009000000</v>
      </c>
      <c r="N349" s="57">
        <v>8097156900</v>
      </c>
      <c r="O349" s="58">
        <f t="shared" si="67"/>
        <v>31488700</v>
      </c>
      <c r="P349" s="57">
        <v>0</v>
      </c>
      <c r="Q349" s="57">
        <v>31488700</v>
      </c>
      <c r="R349" s="57">
        <v>4371400</v>
      </c>
      <c r="S349" s="58"/>
      <c r="T349" s="58"/>
      <c r="U349" s="58">
        <f t="shared" si="68"/>
        <v>0</v>
      </c>
      <c r="V349" s="57">
        <v>0</v>
      </c>
      <c r="W349" s="57">
        <v>0</v>
      </c>
      <c r="X349" s="58"/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  <c r="AI349" s="58"/>
      <c r="AJ349" s="32">
        <f t="shared" si="61"/>
        <v>12138455</v>
      </c>
      <c r="AK349" s="59">
        <v>322500</v>
      </c>
      <c r="AL349" s="34">
        <v>44182</v>
      </c>
      <c r="AM349" s="60">
        <v>484</v>
      </c>
      <c r="AN349" s="34">
        <f>1507*2550</f>
        <v>3842850</v>
      </c>
      <c r="AO349" s="116">
        <f t="shared" si="64"/>
        <v>1306800</v>
      </c>
      <c r="AP349" s="59">
        <v>800000</v>
      </c>
      <c r="AQ349" s="55">
        <v>33072417976952</v>
      </c>
      <c r="AR349" s="55">
        <v>319161268000</v>
      </c>
      <c r="AS349" s="55">
        <v>92368590000</v>
      </c>
      <c r="AT349" s="55">
        <v>117815942500</v>
      </c>
      <c r="AU349" s="55">
        <v>25281390</v>
      </c>
      <c r="AV349" s="99">
        <v>2404312212.5999999</v>
      </c>
    </row>
    <row r="350" spans="1:48" ht="15">
      <c r="A350" s="41">
        <v>44183</v>
      </c>
      <c r="B350" s="65">
        <v>7597717500</v>
      </c>
      <c r="C350" s="65"/>
      <c r="D350" s="65"/>
      <c r="E350" s="65"/>
      <c r="F350" s="65">
        <f t="shared" si="66"/>
        <v>7597717500</v>
      </c>
      <c r="G350" s="65">
        <f>ROUND(F350*0.027%,0)</f>
        <v>2051384</v>
      </c>
      <c r="H350" s="58">
        <f t="shared" si="65"/>
        <v>3818299100</v>
      </c>
      <c r="I350" s="58">
        <v>60193500000</v>
      </c>
      <c r="J350" s="58">
        <v>64011799100</v>
      </c>
      <c r="K350" s="58"/>
      <c r="L350" s="58">
        <f>N350-M350</f>
        <v>196300000</v>
      </c>
      <c r="M350" s="58">
        <v>3222000000</v>
      </c>
      <c r="N350" s="58">
        <v>3418300000</v>
      </c>
      <c r="O350" s="58">
        <f t="shared" si="67"/>
        <v>318424200</v>
      </c>
      <c r="P350" s="58">
        <v>0</v>
      </c>
      <c r="Q350" s="58">
        <v>318424200</v>
      </c>
      <c r="R350" s="58">
        <v>159605200</v>
      </c>
      <c r="S350" s="58"/>
      <c r="T350" s="58"/>
      <c r="U350" s="58">
        <f>W350-V350</f>
        <v>3802004700</v>
      </c>
      <c r="V350" s="58">
        <v>0</v>
      </c>
      <c r="W350" s="58">
        <v>3802004700</v>
      </c>
      <c r="X350" s="58"/>
      <c r="Y350" s="58"/>
      <c r="Z350" s="58"/>
      <c r="AA350" s="58"/>
      <c r="AB350" s="58"/>
      <c r="AC350" s="58"/>
      <c r="AD350" s="58"/>
      <c r="AE350" s="58"/>
      <c r="AF350" s="58"/>
      <c r="AG350" s="58"/>
      <c r="AH350" s="58"/>
      <c r="AI350" s="58"/>
      <c r="AJ350" s="32">
        <f t="shared" si="61"/>
        <v>12595846</v>
      </c>
      <c r="AK350" s="66">
        <v>397443</v>
      </c>
      <c r="AL350" s="116">
        <v>44183</v>
      </c>
      <c r="AM350" s="116">
        <v>310</v>
      </c>
      <c r="AN350" s="42">
        <f>1811*2550*3</f>
        <v>13854150</v>
      </c>
      <c r="AO350" s="116">
        <f t="shared" si="64"/>
        <v>837000</v>
      </c>
      <c r="AP350" s="66"/>
      <c r="AQ350" s="55">
        <v>30362548357764</v>
      </c>
      <c r="AR350" s="55">
        <v>399814680700</v>
      </c>
      <c r="AS350" s="55">
        <v>94574554300</v>
      </c>
      <c r="AT350" s="55">
        <v>102172271800</v>
      </c>
      <c r="AU350" s="55">
        <v>29735823</v>
      </c>
      <c r="AV350" s="99">
        <v>2434048035.5999999</v>
      </c>
    </row>
    <row r="351" spans="1:48" ht="15">
      <c r="A351" s="28">
        <v>44186</v>
      </c>
      <c r="B351" s="56">
        <v>2323520500</v>
      </c>
      <c r="C351" s="56">
        <v>10883520000</v>
      </c>
      <c r="D351" s="56"/>
      <c r="E351" s="56"/>
      <c r="F351" s="65">
        <f t="shared" si="66"/>
        <v>13207040500</v>
      </c>
      <c r="G351" s="65">
        <f>ROUND(F351*0.027%,0)</f>
        <v>3565901</v>
      </c>
      <c r="H351" s="58">
        <f t="shared" si="65"/>
        <v>5290503600</v>
      </c>
      <c r="I351" s="57">
        <v>35118300000</v>
      </c>
      <c r="J351" s="57">
        <v>40408803600</v>
      </c>
      <c r="K351" s="57"/>
      <c r="L351" s="58">
        <f t="shared" ref="L351:L354" si="71">N351-M351</f>
        <v>167000</v>
      </c>
      <c r="M351" s="57">
        <v>0</v>
      </c>
      <c r="N351" s="57">
        <v>167000</v>
      </c>
      <c r="O351" s="58">
        <f t="shared" si="67"/>
        <v>1288866700</v>
      </c>
      <c r="P351" s="57">
        <v>0</v>
      </c>
      <c r="Q351" s="57">
        <v>1288866700</v>
      </c>
      <c r="R351" s="57">
        <v>8497500</v>
      </c>
      <c r="S351" s="58"/>
      <c r="T351" s="58"/>
      <c r="U351" s="58">
        <f t="shared" ref="U351:U358" si="72">W351-V351</f>
        <v>130500</v>
      </c>
      <c r="V351" s="57">
        <v>0</v>
      </c>
      <c r="W351" s="57">
        <v>130500</v>
      </c>
      <c r="X351" s="58"/>
      <c r="Y351" s="58"/>
      <c r="Z351" s="58"/>
      <c r="AA351" s="58"/>
      <c r="AB351" s="58"/>
      <c r="AC351" s="58"/>
      <c r="AD351" s="58"/>
      <c r="AE351" s="58"/>
      <c r="AF351" s="58"/>
      <c r="AG351" s="58"/>
      <c r="AH351" s="58"/>
      <c r="AI351" s="58"/>
      <c r="AJ351" s="32">
        <f t="shared" si="61"/>
        <v>7033437</v>
      </c>
      <c r="AK351" s="59">
        <v>59031</v>
      </c>
      <c r="AL351" s="60">
        <v>44186</v>
      </c>
      <c r="AM351" s="60">
        <v>558</v>
      </c>
      <c r="AN351" s="34">
        <f>2277*2550</f>
        <v>5806350</v>
      </c>
      <c r="AO351" s="60">
        <f t="shared" si="64"/>
        <v>1506600</v>
      </c>
      <c r="AP351" s="59">
        <v>700000</v>
      </c>
      <c r="AQ351" s="55">
        <v>34001658370472</v>
      </c>
      <c r="AR351" s="55">
        <v>326607317600</v>
      </c>
      <c r="AS351" s="55">
        <v>70086071900</v>
      </c>
      <c r="AT351" s="55">
        <v>83293112400</v>
      </c>
      <c r="AU351" s="55">
        <v>18671319</v>
      </c>
      <c r="AV351" s="99">
        <v>2452719354.5999999</v>
      </c>
    </row>
    <row r="352" spans="1:48" ht="15">
      <c r="A352" s="28">
        <v>44187</v>
      </c>
      <c r="B352" s="56">
        <v>0</v>
      </c>
      <c r="C352" s="56">
        <v>8948819500</v>
      </c>
      <c r="D352" s="56"/>
      <c r="E352" s="56"/>
      <c r="F352" s="65">
        <f t="shared" si="66"/>
        <v>8948819500</v>
      </c>
      <c r="G352" s="65">
        <f>ROUND(F352*0.027%,0)</f>
        <v>2416181</v>
      </c>
      <c r="H352" s="58">
        <f t="shared" si="65"/>
        <v>5335728700</v>
      </c>
      <c r="I352" s="57">
        <v>33422500000</v>
      </c>
      <c r="J352" s="57">
        <v>38758228700</v>
      </c>
      <c r="K352" s="57"/>
      <c r="L352" s="58">
        <f t="shared" si="71"/>
        <v>1401302900</v>
      </c>
      <c r="M352" s="57">
        <v>0</v>
      </c>
      <c r="N352" s="57">
        <v>1401302900</v>
      </c>
      <c r="O352" s="57">
        <f t="shared" si="67"/>
        <v>401200</v>
      </c>
      <c r="P352" s="57">
        <v>0</v>
      </c>
      <c r="Q352" s="57">
        <v>401200</v>
      </c>
      <c r="R352" s="57">
        <v>10995500</v>
      </c>
      <c r="S352" s="58"/>
      <c r="T352" s="58"/>
      <c r="U352" s="58">
        <f t="shared" si="72"/>
        <v>0</v>
      </c>
      <c r="V352" s="57">
        <v>0</v>
      </c>
      <c r="W352" s="57">
        <v>0</v>
      </c>
      <c r="X352" s="58"/>
      <c r="Y352" s="58"/>
      <c r="Z352" s="58"/>
      <c r="AA352" s="58"/>
      <c r="AB352" s="58"/>
      <c r="AC352" s="58"/>
      <c r="AD352" s="58"/>
      <c r="AE352" s="58"/>
      <c r="AF352" s="58"/>
      <c r="AG352" s="58"/>
      <c r="AH352" s="58"/>
      <c r="AI352" s="58"/>
      <c r="AJ352" s="32">
        <f t="shared" si="61"/>
        <v>6745672</v>
      </c>
      <c r="AK352" s="59">
        <v>25494</v>
      </c>
      <c r="AL352" s="60">
        <v>44187</v>
      </c>
      <c r="AM352" s="60">
        <v>427</v>
      </c>
      <c r="AN352" s="34">
        <f>2740*2550</f>
        <v>6987000</v>
      </c>
      <c r="AO352" s="60">
        <f t="shared" si="64"/>
        <v>1152900</v>
      </c>
      <c r="AP352" s="59">
        <v>800000</v>
      </c>
      <c r="AQ352" s="55">
        <v>35441569197234</v>
      </c>
      <c r="AR352" s="55">
        <v>125916275800</v>
      </c>
      <c r="AS352" s="55">
        <v>69835225000</v>
      </c>
      <c r="AT352" s="55">
        <v>78784044500</v>
      </c>
      <c r="AU352" s="55">
        <v>18127247</v>
      </c>
      <c r="AV352" s="99">
        <v>2470846601.5999999</v>
      </c>
    </row>
    <row r="353" spans="1:50" ht="15">
      <c r="A353" s="28">
        <v>44188</v>
      </c>
      <c r="B353" s="56">
        <v>0</v>
      </c>
      <c r="C353" s="56"/>
      <c r="D353" s="56"/>
      <c r="E353" s="56"/>
      <c r="F353" s="65">
        <f t="shared" si="66"/>
        <v>0</v>
      </c>
      <c r="G353" s="65">
        <f>ROUND(F353*0.027%,0)</f>
        <v>0</v>
      </c>
      <c r="H353" s="58">
        <f t="shared" si="65"/>
        <v>264397000</v>
      </c>
      <c r="I353" s="57">
        <v>21184000000</v>
      </c>
      <c r="J353" s="57">
        <v>21448397000</v>
      </c>
      <c r="K353" s="57"/>
      <c r="L353" s="58">
        <f t="shared" si="71"/>
        <v>0</v>
      </c>
      <c r="M353" s="57">
        <v>0</v>
      </c>
      <c r="N353" s="57">
        <v>0</v>
      </c>
      <c r="O353" s="57">
        <f t="shared" si="67"/>
        <v>2679000</v>
      </c>
      <c r="P353" s="57">
        <v>0</v>
      </c>
      <c r="Q353" s="57">
        <v>2679000</v>
      </c>
      <c r="R353" s="57">
        <v>6354400</v>
      </c>
      <c r="S353" s="58"/>
      <c r="T353" s="58"/>
      <c r="U353" s="58">
        <f t="shared" si="72"/>
        <v>190184000</v>
      </c>
      <c r="V353" s="57">
        <v>0</v>
      </c>
      <c r="W353" s="57">
        <v>190184000</v>
      </c>
      <c r="X353" s="58"/>
      <c r="Y353" s="58"/>
      <c r="Z353" s="58"/>
      <c r="AA353" s="58"/>
      <c r="AB353" s="58"/>
      <c r="AC353" s="58"/>
      <c r="AD353" s="58"/>
      <c r="AE353" s="58"/>
      <c r="AF353" s="58"/>
      <c r="AG353" s="58"/>
      <c r="AH353" s="58"/>
      <c r="AI353" s="58"/>
      <c r="AJ353" s="32">
        <f t="shared" si="61"/>
        <v>3877341</v>
      </c>
      <c r="AK353" s="59">
        <v>4554</v>
      </c>
      <c r="AL353" s="60">
        <v>44188</v>
      </c>
      <c r="AM353" s="60">
        <v>206</v>
      </c>
      <c r="AN353" s="34">
        <f>2908*2550</f>
        <v>7415400</v>
      </c>
      <c r="AO353" s="60">
        <f t="shared" si="64"/>
        <v>556200</v>
      </c>
      <c r="AP353" s="59">
        <v>0</v>
      </c>
      <c r="AQ353" s="55">
        <v>35900404793464</v>
      </c>
      <c r="AR353" s="55">
        <v>152067883600</v>
      </c>
      <c r="AS353" s="55">
        <v>42832176300</v>
      </c>
      <c r="AT353" s="55">
        <v>42832176300</v>
      </c>
      <c r="AU353" s="55">
        <v>11853495</v>
      </c>
      <c r="AV353" s="99">
        <v>2482700096.5999999</v>
      </c>
    </row>
    <row r="354" spans="1:50" ht="15">
      <c r="A354" s="50">
        <v>44189</v>
      </c>
      <c r="B354" s="118">
        <v>2297823000</v>
      </c>
      <c r="C354" s="118">
        <v>838170500</v>
      </c>
      <c r="D354" s="118"/>
      <c r="E354" s="118"/>
      <c r="F354" s="65">
        <f t="shared" si="66"/>
        <v>3135993500</v>
      </c>
      <c r="G354" s="65">
        <f>ROUND(F354*0.027%,0)</f>
        <v>846718</v>
      </c>
      <c r="H354" s="58">
        <f>J354-I354</f>
        <v>1751043900</v>
      </c>
      <c r="I354" s="121">
        <v>6962000000</v>
      </c>
      <c r="J354" s="121">
        <v>8713043900</v>
      </c>
      <c r="K354" s="121"/>
      <c r="L354" s="58">
        <f t="shared" si="71"/>
        <v>33000000</v>
      </c>
      <c r="M354" s="121">
        <v>0</v>
      </c>
      <c r="N354" s="121">
        <v>33000000</v>
      </c>
      <c r="O354" s="121">
        <f t="shared" si="67"/>
        <v>0</v>
      </c>
      <c r="P354" s="121">
        <v>0</v>
      </c>
      <c r="Q354" s="121">
        <v>0</v>
      </c>
      <c r="R354" s="121">
        <v>27740000</v>
      </c>
      <c r="S354" s="122"/>
      <c r="T354" s="122"/>
      <c r="U354" s="58">
        <f t="shared" si="72"/>
        <v>12766400</v>
      </c>
      <c r="V354" s="121">
        <v>0</v>
      </c>
      <c r="W354" s="121">
        <v>12766400</v>
      </c>
      <c r="X354" s="122"/>
      <c r="Y354" s="122"/>
      <c r="Z354" s="122"/>
      <c r="AA354" s="122"/>
      <c r="AB354" s="122"/>
      <c r="AC354" s="122"/>
      <c r="AD354" s="122"/>
      <c r="AE354" s="122"/>
      <c r="AF354" s="122"/>
      <c r="AG354" s="122"/>
      <c r="AH354" s="122"/>
      <c r="AI354" s="122"/>
      <c r="AJ354" s="32">
        <f t="shared" si="61"/>
        <v>1453128</v>
      </c>
      <c r="AK354" s="124">
        <v>45342</v>
      </c>
      <c r="AL354" s="60">
        <v>44189</v>
      </c>
      <c r="AM354" s="125">
        <v>96</v>
      </c>
      <c r="AN354" s="54">
        <f>2904*2550</f>
        <v>7405200</v>
      </c>
      <c r="AO354" s="125">
        <f t="shared" si="64"/>
        <v>259200</v>
      </c>
      <c r="AP354" s="124">
        <f>700000+600000</f>
        <v>1300000</v>
      </c>
      <c r="AQ354" s="55">
        <v>33903757722278</v>
      </c>
      <c r="AR354" s="55">
        <v>63554801200</v>
      </c>
      <c r="AS354" s="55">
        <v>14051753500</v>
      </c>
      <c r="AT354" s="55">
        <v>17187747000</v>
      </c>
      <c r="AU354" s="55">
        <v>11309588</v>
      </c>
      <c r="AV354" s="99">
        <v>2494009684.5999999</v>
      </c>
    </row>
    <row r="355" spans="1:50" ht="15">
      <c r="A355" s="41">
        <v>44190</v>
      </c>
      <c r="B355" s="65">
        <v>5766475500</v>
      </c>
      <c r="C355" s="65">
        <v>5468653000</v>
      </c>
      <c r="D355" s="65">
        <v>0</v>
      </c>
      <c r="E355" s="65">
        <v>0</v>
      </c>
      <c r="F355" s="65">
        <f t="shared" si="66"/>
        <v>11235128500</v>
      </c>
      <c r="G355" s="65">
        <f t="shared" ref="G355:G418" si="73">ROUND(F355*0.027%,0)</f>
        <v>3033485</v>
      </c>
      <c r="H355" s="58">
        <f>J355-I355</f>
        <v>178000</v>
      </c>
      <c r="I355" s="58">
        <v>0</v>
      </c>
      <c r="J355" s="58">
        <v>178000</v>
      </c>
      <c r="K355" s="58"/>
      <c r="L355" s="58">
        <v>0</v>
      </c>
      <c r="M355" s="58">
        <v>0</v>
      </c>
      <c r="N355" s="58">
        <v>0</v>
      </c>
      <c r="O355" s="58">
        <f t="shared" si="67"/>
        <v>2895300</v>
      </c>
      <c r="P355" s="58">
        <v>0</v>
      </c>
      <c r="Q355" s="58">
        <v>2895300</v>
      </c>
      <c r="R355" s="58">
        <v>101473700</v>
      </c>
      <c r="S355" s="58"/>
      <c r="T355" s="58"/>
      <c r="U355" s="58">
        <f t="shared" si="72"/>
        <v>37915000</v>
      </c>
      <c r="V355" s="58">
        <v>0</v>
      </c>
      <c r="W355" s="58">
        <v>37915000</v>
      </c>
      <c r="X355" s="58"/>
      <c r="Y355" s="58"/>
      <c r="Z355" s="58"/>
      <c r="AA355" s="58"/>
      <c r="AB355" s="58"/>
      <c r="AC355" s="58"/>
      <c r="AD355" s="58"/>
      <c r="AE355" s="58"/>
      <c r="AF355" s="58"/>
      <c r="AG355" s="58"/>
      <c r="AH355" s="58"/>
      <c r="AI355" s="58"/>
      <c r="AJ355" s="32">
        <f t="shared" si="61"/>
        <v>25422</v>
      </c>
      <c r="AK355" s="66">
        <v>39213</v>
      </c>
      <c r="AL355" s="42">
        <v>44190</v>
      </c>
      <c r="AM355" s="116">
        <v>17</v>
      </c>
      <c r="AN355" s="42">
        <f>2925*2550*3</f>
        <v>22376250</v>
      </c>
      <c r="AO355" s="126">
        <f t="shared" si="64"/>
        <v>45900</v>
      </c>
      <c r="AP355" s="66">
        <v>700000</v>
      </c>
      <c r="AQ355" s="55">
        <v>30956013411636</v>
      </c>
      <c r="AR355" s="55">
        <v>42895041000</v>
      </c>
      <c r="AS355" s="55">
        <v>164720100</v>
      </c>
      <c r="AT355" s="55">
        <v>11400848600</v>
      </c>
      <c r="AU355" s="55">
        <v>26220270</v>
      </c>
      <c r="AV355" s="99">
        <v>2520229954.5999999</v>
      </c>
    </row>
    <row r="356" spans="1:50" ht="15">
      <c r="A356" s="41">
        <v>44193</v>
      </c>
      <c r="B356" s="56">
        <v>10517405000</v>
      </c>
      <c r="C356" s="56">
        <v>907500</v>
      </c>
      <c r="D356" s="56"/>
      <c r="E356" s="56"/>
      <c r="F356" s="65">
        <f t="shared" si="66"/>
        <v>10518312500</v>
      </c>
      <c r="G356" s="65">
        <f t="shared" si="73"/>
        <v>2839944</v>
      </c>
      <c r="H356" s="58">
        <f t="shared" ref="H356:H358" si="74">J356-I356</f>
        <v>3628105000</v>
      </c>
      <c r="I356" s="57">
        <v>28342500000</v>
      </c>
      <c r="J356" s="57">
        <v>31970605000</v>
      </c>
      <c r="K356" s="57"/>
      <c r="L356" s="58">
        <f>N356-M356</f>
        <v>3994640000</v>
      </c>
      <c r="M356" s="57">
        <v>1676000000</v>
      </c>
      <c r="N356" s="57">
        <v>5670640000</v>
      </c>
      <c r="O356" s="57">
        <v>0</v>
      </c>
      <c r="P356" s="57">
        <v>0</v>
      </c>
      <c r="Q356" s="57">
        <v>0</v>
      </c>
      <c r="R356" s="57">
        <v>4524000</v>
      </c>
      <c r="S356" s="58"/>
      <c r="T356" s="58"/>
      <c r="U356" s="58">
        <f t="shared" si="72"/>
        <v>2471900</v>
      </c>
      <c r="V356" s="57">
        <v>0</v>
      </c>
      <c r="W356" s="57">
        <v>2471900</v>
      </c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  <c r="AJ356" s="32">
        <f t="shared" si="61"/>
        <v>6227846</v>
      </c>
      <c r="AK356" s="59">
        <v>270099</v>
      </c>
      <c r="AL356" s="42">
        <v>44193</v>
      </c>
      <c r="AM356" s="60">
        <v>182</v>
      </c>
      <c r="AN356" s="34">
        <f>3107*2550</f>
        <v>7922850</v>
      </c>
      <c r="AO356" s="60">
        <f t="shared" si="64"/>
        <v>491400</v>
      </c>
      <c r="AP356" s="59">
        <v>200000</v>
      </c>
      <c r="AQ356" s="55">
        <v>35809961982400</v>
      </c>
      <c r="AR356" s="55">
        <v>297025511400</v>
      </c>
      <c r="AS356" s="55">
        <v>50059829900</v>
      </c>
      <c r="AT356" s="55">
        <v>60578142400</v>
      </c>
      <c r="AU356" s="55">
        <v>17952139</v>
      </c>
      <c r="AV356" s="99">
        <v>2538182093.5999999</v>
      </c>
    </row>
    <row r="357" spans="1:50" ht="15">
      <c r="A357" s="41">
        <v>44194</v>
      </c>
      <c r="B357" s="56">
        <v>0</v>
      </c>
      <c r="C357" s="56">
        <v>0</v>
      </c>
      <c r="D357" s="56"/>
      <c r="E357" s="56"/>
      <c r="F357" s="65">
        <f t="shared" si="66"/>
        <v>0</v>
      </c>
      <c r="G357" s="65">
        <f t="shared" si="73"/>
        <v>0</v>
      </c>
      <c r="H357" s="58">
        <f t="shared" si="74"/>
        <v>1243200</v>
      </c>
      <c r="I357" s="57">
        <v>8871500000</v>
      </c>
      <c r="J357" s="57">
        <v>8872743200</v>
      </c>
      <c r="K357" s="57"/>
      <c r="L357" s="58">
        <f t="shared" ref="L357:L358" si="75">N357-M357</f>
        <v>2500500</v>
      </c>
      <c r="M357" s="57">
        <v>0</v>
      </c>
      <c r="N357" s="57">
        <v>2500500</v>
      </c>
      <c r="O357" s="57">
        <v>0</v>
      </c>
      <c r="P357" s="57">
        <v>0</v>
      </c>
      <c r="Q357" s="57">
        <v>0</v>
      </c>
      <c r="R357" s="57">
        <v>24556200</v>
      </c>
      <c r="S357" s="57"/>
      <c r="T357" s="57"/>
      <c r="U357" s="57">
        <f t="shared" si="72"/>
        <v>12137100</v>
      </c>
      <c r="V357" s="57">
        <v>0</v>
      </c>
      <c r="W357" s="57">
        <v>12137100</v>
      </c>
      <c r="X357" s="58"/>
      <c r="Y357" s="58"/>
      <c r="Z357" s="58"/>
      <c r="AA357" s="58"/>
      <c r="AB357" s="58"/>
      <c r="AC357" s="58"/>
      <c r="AD357" s="58"/>
      <c r="AE357" s="58"/>
      <c r="AF357" s="58"/>
      <c r="AG357" s="58"/>
      <c r="AH357" s="58"/>
      <c r="AI357" s="58"/>
      <c r="AJ357" s="32">
        <f t="shared" si="61"/>
        <v>1603879</v>
      </c>
      <c r="AK357" s="59">
        <v>819</v>
      </c>
      <c r="AL357" s="42">
        <v>44194</v>
      </c>
      <c r="AM357" s="60">
        <v>85</v>
      </c>
      <c r="AN357" s="34">
        <f>3190*2550</f>
        <v>8134500</v>
      </c>
      <c r="AO357" s="60">
        <f>AM357*2700</f>
        <v>229500</v>
      </c>
      <c r="AP357" s="59">
        <v>0</v>
      </c>
      <c r="AQ357" s="55">
        <v>34789251378210</v>
      </c>
      <c r="AR357" s="55">
        <v>69483767600</v>
      </c>
      <c r="AS357" s="55">
        <v>17783437000</v>
      </c>
      <c r="AT357" s="55">
        <v>17783437000</v>
      </c>
      <c r="AU357" s="55">
        <v>9968698</v>
      </c>
      <c r="AV357" s="99">
        <v>2548150791.5999999</v>
      </c>
      <c r="AX357" s="74">
        <f t="shared" ref="AX357:AX420" si="76">AT357/AQ357</f>
        <v>5.1117619079146174E-4</v>
      </c>
    </row>
    <row r="358" spans="1:50" ht="15">
      <c r="A358" s="41">
        <v>44195</v>
      </c>
      <c r="B358" s="56">
        <v>20294173500</v>
      </c>
      <c r="C358" s="56"/>
      <c r="D358" s="56"/>
      <c r="E358" s="56"/>
      <c r="F358" s="65">
        <f t="shared" si="66"/>
        <v>20294173500</v>
      </c>
      <c r="G358" s="65">
        <f t="shared" si="73"/>
        <v>5479427</v>
      </c>
      <c r="H358" s="58">
        <f t="shared" si="74"/>
        <v>0</v>
      </c>
      <c r="I358" s="57">
        <v>26809500000</v>
      </c>
      <c r="J358" s="57">
        <v>26809500000</v>
      </c>
      <c r="K358" s="57"/>
      <c r="L358" s="58">
        <f t="shared" si="75"/>
        <v>0</v>
      </c>
      <c r="M358" s="57">
        <v>0</v>
      </c>
      <c r="N358" s="57">
        <v>0</v>
      </c>
      <c r="O358" s="57">
        <v>0</v>
      </c>
      <c r="P358" s="57">
        <v>0</v>
      </c>
      <c r="Q358" s="57">
        <v>0</v>
      </c>
      <c r="R358" s="57">
        <v>26664200</v>
      </c>
      <c r="S358" s="57"/>
      <c r="T358" s="57"/>
      <c r="U358" s="57">
        <f t="shared" si="72"/>
        <v>921300</v>
      </c>
      <c r="V358" s="57">
        <v>0</v>
      </c>
      <c r="W358" s="57">
        <v>921300</v>
      </c>
      <c r="X358" s="58"/>
      <c r="Y358" s="58"/>
      <c r="Z358" s="58"/>
      <c r="AA358" s="58"/>
      <c r="AB358" s="58"/>
      <c r="AC358" s="58"/>
      <c r="AD358" s="58"/>
      <c r="AE358" s="58"/>
      <c r="AF358" s="58"/>
      <c r="AG358" s="58"/>
      <c r="AH358" s="58"/>
      <c r="AI358" s="58"/>
      <c r="AJ358" s="32">
        <f t="shared" ref="AJ358:AJ389" si="77">ROUND(H358*0.0108%+I358*0.018%+K358*0.018%+L358*0.0108%+M358*0.018%+O358*0.0108%+P358*0.018%+R358*0.018%+W358*0.018%,0)</f>
        <v>4830675</v>
      </c>
      <c r="AK358" s="59">
        <v>315042</v>
      </c>
      <c r="AL358" s="42">
        <v>44195</v>
      </c>
      <c r="AM358" s="60">
        <v>238</v>
      </c>
      <c r="AN358" s="34">
        <f>3020*2550</f>
        <v>7701000</v>
      </c>
      <c r="AO358" s="60">
        <f t="shared" si="64"/>
        <v>642600</v>
      </c>
      <c r="AP358" s="59">
        <v>11187870</v>
      </c>
      <c r="AQ358" s="55">
        <v>30818155012760</v>
      </c>
      <c r="AR358" s="55">
        <v>140212610000</v>
      </c>
      <c r="AS358" s="55">
        <v>35778423500</v>
      </c>
      <c r="AT358" s="55">
        <v>56072597000</v>
      </c>
      <c r="AU358" s="55">
        <v>30156614</v>
      </c>
      <c r="AV358" s="99">
        <v>2578307405.5999999</v>
      </c>
      <c r="AX358" s="74">
        <f t="shared" si="76"/>
        <v>1.8194663819681486E-3</v>
      </c>
    </row>
    <row r="359" spans="1:50" ht="15">
      <c r="A359" s="72">
        <v>44196</v>
      </c>
      <c r="B359" s="118">
        <v>89844000</v>
      </c>
      <c r="C359" s="118"/>
      <c r="D359" s="118"/>
      <c r="E359" s="118"/>
      <c r="F359" s="118">
        <f t="shared" si="66"/>
        <v>89844000</v>
      </c>
      <c r="G359" s="118">
        <f t="shared" si="73"/>
        <v>24258</v>
      </c>
      <c r="H359" s="121">
        <v>900000000</v>
      </c>
      <c r="I359" s="121">
        <v>0</v>
      </c>
      <c r="J359" s="121">
        <v>900000000</v>
      </c>
      <c r="K359" s="121"/>
      <c r="L359" s="122">
        <v>173014000</v>
      </c>
      <c r="M359" s="121"/>
      <c r="N359" s="121">
        <f>M359+L359</f>
        <v>173014000</v>
      </c>
      <c r="O359" s="121">
        <v>1633200</v>
      </c>
      <c r="P359" s="121">
        <v>0</v>
      </c>
      <c r="Q359" s="121">
        <f>O359+P359</f>
        <v>1633200</v>
      </c>
      <c r="R359" s="121">
        <v>64940000</v>
      </c>
      <c r="S359" s="121"/>
      <c r="T359" s="121"/>
      <c r="U359" s="121">
        <v>13461000</v>
      </c>
      <c r="V359" s="121">
        <v>0</v>
      </c>
      <c r="W359" s="121">
        <f>U359+V359</f>
        <v>13461000</v>
      </c>
      <c r="X359" s="122"/>
      <c r="Y359" s="122"/>
      <c r="Z359" s="122"/>
      <c r="AA359" s="122"/>
      <c r="AB359" s="122"/>
      <c r="AC359" s="122"/>
      <c r="AD359" s="122"/>
      <c r="AE359" s="122"/>
      <c r="AF359" s="122"/>
      <c r="AG359" s="122"/>
      <c r="AH359" s="122"/>
      <c r="AI359" s="122"/>
      <c r="AJ359" s="123">
        <f t="shared" si="77"/>
        <v>130174</v>
      </c>
      <c r="AK359" s="124">
        <v>1269</v>
      </c>
      <c r="AL359" s="127">
        <v>44196</v>
      </c>
      <c r="AM359" s="125">
        <v>0</v>
      </c>
      <c r="AN359" s="54">
        <f>3020*2550</f>
        <v>7701000</v>
      </c>
      <c r="AO359" s="125">
        <f t="shared" si="64"/>
        <v>0</v>
      </c>
      <c r="AP359" s="124">
        <v>1600000</v>
      </c>
      <c r="AQ359" s="55">
        <v>26441201384490</v>
      </c>
      <c r="AR359" s="55">
        <v>162150822600</v>
      </c>
      <c r="AS359" s="55">
        <v>3328337600</v>
      </c>
      <c r="AT359" s="55">
        <v>3418181600</v>
      </c>
      <c r="AU359" s="55">
        <v>9456701</v>
      </c>
      <c r="AV359" s="99">
        <v>2587764106.5999999</v>
      </c>
      <c r="AX359" s="74">
        <f t="shared" si="76"/>
        <v>1.2927482190748914E-4</v>
      </c>
    </row>
    <row r="360" spans="1:50" ht="15">
      <c r="A360" s="41">
        <v>44200</v>
      </c>
      <c r="B360" s="65">
        <v>14298220000</v>
      </c>
      <c r="C360" s="65"/>
      <c r="D360" s="65"/>
      <c r="E360" s="65"/>
      <c r="F360" s="65">
        <f t="shared" ref="F360:F363" si="78">SUM(B360:E360)</f>
        <v>14298220000</v>
      </c>
      <c r="G360" s="65">
        <f t="shared" si="73"/>
        <v>3860519</v>
      </c>
      <c r="H360" s="58">
        <f>J360-I360</f>
        <v>6893139000</v>
      </c>
      <c r="I360" s="58">
        <v>70536000000</v>
      </c>
      <c r="J360" s="58">
        <v>77429139000</v>
      </c>
      <c r="K360" s="58"/>
      <c r="L360" s="58">
        <f>N360-M360</f>
        <v>2659019000</v>
      </c>
      <c r="M360" s="58">
        <v>0</v>
      </c>
      <c r="N360" s="58">
        <v>2659019000</v>
      </c>
      <c r="O360" s="58">
        <f>Q360-P360</f>
        <v>1415000</v>
      </c>
      <c r="P360" s="58">
        <v>0</v>
      </c>
      <c r="Q360" s="58">
        <v>1415000</v>
      </c>
      <c r="R360" s="58">
        <v>445790000</v>
      </c>
      <c r="S360" s="58"/>
      <c r="T360" s="58"/>
      <c r="U360" s="58">
        <v>0</v>
      </c>
      <c r="V360" s="58">
        <v>0</v>
      </c>
      <c r="W360" s="58">
        <v>0</v>
      </c>
      <c r="X360" s="58"/>
      <c r="Y360" s="58"/>
      <c r="Z360" s="58"/>
      <c r="AA360" s="58"/>
      <c r="AB360" s="58"/>
      <c r="AC360" s="58"/>
      <c r="AD360" s="58"/>
      <c r="AE360" s="58"/>
      <c r="AF360" s="58"/>
      <c r="AG360" s="58"/>
      <c r="AH360" s="58"/>
      <c r="AI360" s="58"/>
      <c r="AJ360" s="32">
        <f t="shared" si="77"/>
        <v>13808508</v>
      </c>
      <c r="AK360" s="66">
        <f>(424600*0.3)+300000</f>
        <v>427380</v>
      </c>
      <c r="AL360" s="42">
        <v>44200</v>
      </c>
      <c r="AM360" s="116">
        <v>124</v>
      </c>
      <c r="AN360" s="42">
        <f>3086*2550+3020*2550*3</f>
        <v>30972300</v>
      </c>
      <c r="AO360" s="116">
        <f>AM360*2700</f>
        <v>334800</v>
      </c>
      <c r="AP360" s="66"/>
      <c r="AQ360" s="55">
        <v>38043539593170</v>
      </c>
      <c r="AR360" s="55">
        <v>213443118000</v>
      </c>
      <c r="AS360" s="55">
        <v>111951380000</v>
      </c>
      <c r="AT360" s="55">
        <v>126249600000</v>
      </c>
      <c r="AU360" s="55">
        <v>49403507</v>
      </c>
      <c r="AV360" s="99">
        <v>2637167613.5999999</v>
      </c>
      <c r="AX360" s="74">
        <f t="shared" si="76"/>
        <v>3.3185555642321393E-3</v>
      </c>
    </row>
    <row r="361" spans="1:50" ht="15">
      <c r="A361" s="41">
        <v>44201</v>
      </c>
      <c r="B361" s="56">
        <v>22785455000</v>
      </c>
      <c r="C361" s="56"/>
      <c r="D361" s="56"/>
      <c r="E361" s="56"/>
      <c r="F361" s="56">
        <f t="shared" si="78"/>
        <v>22785455000</v>
      </c>
      <c r="G361" s="56">
        <f t="shared" si="73"/>
        <v>6152073</v>
      </c>
      <c r="H361" s="57">
        <f>J361-I361</f>
        <v>1092006000</v>
      </c>
      <c r="I361" s="57">
        <v>35031000000</v>
      </c>
      <c r="J361" s="57">
        <v>36123006000</v>
      </c>
      <c r="K361" s="57"/>
      <c r="L361" s="58">
        <f>N361-M361</f>
        <v>3713025000</v>
      </c>
      <c r="M361" s="57">
        <v>0</v>
      </c>
      <c r="N361" s="57">
        <v>3713025000</v>
      </c>
      <c r="O361" s="58">
        <f>Q361-P361</f>
        <v>51085000</v>
      </c>
      <c r="P361" s="57">
        <v>0</v>
      </c>
      <c r="Q361" s="57">
        <v>51085000</v>
      </c>
      <c r="R361" s="57">
        <v>373924000</v>
      </c>
      <c r="S361" s="57"/>
      <c r="T361" s="57"/>
      <c r="U361" s="57">
        <v>0</v>
      </c>
      <c r="V361" s="57">
        <v>0</v>
      </c>
      <c r="W361" s="57">
        <v>0</v>
      </c>
      <c r="X361" s="57"/>
      <c r="Y361" s="57"/>
      <c r="Z361" s="57"/>
      <c r="AA361" s="57"/>
      <c r="AB361" s="57"/>
      <c r="AC361" s="57"/>
      <c r="AD361" s="57"/>
      <c r="AE361" s="57"/>
      <c r="AF361" s="57"/>
      <c r="AG361" s="57"/>
      <c r="AH361" s="57"/>
      <c r="AI361" s="57"/>
      <c r="AJ361" s="31">
        <f t="shared" si="77"/>
        <v>6897347</v>
      </c>
      <c r="AK361" s="59">
        <f>1037200*0.3</f>
        <v>311160</v>
      </c>
      <c r="AL361" s="42">
        <v>44201</v>
      </c>
      <c r="AM361" s="60">
        <v>220</v>
      </c>
      <c r="AN361" s="34">
        <f>2966*2550</f>
        <v>7563300</v>
      </c>
      <c r="AO361" s="116">
        <f t="shared" ref="AO361:AO363" si="79">AM361*2700</f>
        <v>594000</v>
      </c>
      <c r="AP361" s="59"/>
      <c r="AQ361" s="55">
        <v>38966582258884</v>
      </c>
      <c r="AR361" s="55">
        <v>144595874000</v>
      </c>
      <c r="AS361" s="55">
        <v>68384913000</v>
      </c>
      <c r="AT361" s="55">
        <v>91170368000</v>
      </c>
      <c r="AU361" s="55">
        <v>21517880</v>
      </c>
      <c r="AV361" s="99">
        <v>2658685493.5999999</v>
      </c>
      <c r="AX361" s="74">
        <f t="shared" si="76"/>
        <v>2.3397065566152916E-3</v>
      </c>
    </row>
    <row r="362" spans="1:50" ht="15">
      <c r="A362" s="41">
        <v>44202</v>
      </c>
      <c r="B362" s="56">
        <v>5208920000</v>
      </c>
      <c r="C362" s="56"/>
      <c r="D362" s="56"/>
      <c r="E362" s="56"/>
      <c r="F362" s="56">
        <f t="shared" si="78"/>
        <v>5208920000</v>
      </c>
      <c r="G362" s="56">
        <f t="shared" si="73"/>
        <v>1406408</v>
      </c>
      <c r="H362" s="57">
        <f t="shared" ref="H362:H363" si="80">J362-I362</f>
        <v>2933172000</v>
      </c>
      <c r="I362" s="57">
        <v>31766500000</v>
      </c>
      <c r="J362" s="57">
        <v>34699672000</v>
      </c>
      <c r="K362" s="57"/>
      <c r="L362" s="58">
        <f>N362-M362</f>
        <v>4590294000</v>
      </c>
      <c r="M362" s="57">
        <v>0</v>
      </c>
      <c r="N362" s="57">
        <v>4590294000</v>
      </c>
      <c r="O362" s="58">
        <f>Q362-P362</f>
        <v>7130000</v>
      </c>
      <c r="P362" s="57">
        <v>0</v>
      </c>
      <c r="Q362" s="57">
        <v>7130000</v>
      </c>
      <c r="R362" s="57">
        <v>464491000</v>
      </c>
      <c r="S362" s="57"/>
      <c r="T362" s="57"/>
      <c r="U362" s="57">
        <v>0</v>
      </c>
      <c r="V362" s="57">
        <v>0</v>
      </c>
      <c r="W362" s="57">
        <v>0</v>
      </c>
      <c r="X362" s="57"/>
      <c r="Y362" s="57"/>
      <c r="Z362" s="57"/>
      <c r="AA362" s="57"/>
      <c r="AB362" s="57"/>
      <c r="AC362" s="57"/>
      <c r="AD362" s="57"/>
      <c r="AE362" s="57"/>
      <c r="AF362" s="57"/>
      <c r="AG362" s="57"/>
      <c r="AH362" s="57"/>
      <c r="AI362" s="57"/>
      <c r="AJ362" s="31">
        <f t="shared" si="77"/>
        <v>6614883</v>
      </c>
      <c r="AK362" s="59">
        <f>1231900*0.3</f>
        <v>369570</v>
      </c>
      <c r="AL362" s="42">
        <v>44202</v>
      </c>
      <c r="AM362" s="60">
        <v>176</v>
      </c>
      <c r="AN362" s="34">
        <f>2854*2550</f>
        <v>7277700</v>
      </c>
      <c r="AO362" s="116">
        <f t="shared" si="79"/>
        <v>475200</v>
      </c>
      <c r="AP362" s="59"/>
      <c r="AQ362" s="55">
        <v>42114470425416</v>
      </c>
      <c r="AR362" s="55">
        <v>209449996000</v>
      </c>
      <c r="AS362" s="55">
        <v>66185047000</v>
      </c>
      <c r="AT362" s="55">
        <v>71393967000</v>
      </c>
      <c r="AU362" s="55">
        <v>16143761</v>
      </c>
      <c r="AV362" s="99">
        <v>2674829254.5999999</v>
      </c>
      <c r="AX362" s="74">
        <f t="shared" si="76"/>
        <v>1.6952360145769251E-3</v>
      </c>
    </row>
    <row r="363" spans="1:50" ht="15">
      <c r="A363" s="72">
        <v>44203</v>
      </c>
      <c r="B363" s="118">
        <v>15750590000</v>
      </c>
      <c r="C363" s="118"/>
      <c r="D363" s="118"/>
      <c r="E363" s="118"/>
      <c r="F363" s="118">
        <f t="shared" si="78"/>
        <v>15750590000</v>
      </c>
      <c r="G363" s="118">
        <f t="shared" si="73"/>
        <v>4252659</v>
      </c>
      <c r="H363" s="121">
        <f t="shared" si="80"/>
        <v>466816000</v>
      </c>
      <c r="I363" s="121">
        <v>33901500000</v>
      </c>
      <c r="J363" s="121">
        <v>34368316000</v>
      </c>
      <c r="K363" s="121"/>
      <c r="L363" s="122">
        <f t="shared" ref="L363" si="81">N363-M363</f>
        <v>3013384000</v>
      </c>
      <c r="M363" s="121">
        <v>0</v>
      </c>
      <c r="N363" s="121">
        <v>3013384000</v>
      </c>
      <c r="O363" s="122">
        <f>Q363-P363</f>
        <v>27948000</v>
      </c>
      <c r="P363" s="121">
        <v>0</v>
      </c>
      <c r="Q363" s="121">
        <v>27948000</v>
      </c>
      <c r="R363" s="121">
        <v>536867000</v>
      </c>
      <c r="S363" s="121"/>
      <c r="T363" s="121"/>
      <c r="U363" s="121">
        <f>W363-V363</f>
        <v>22313000</v>
      </c>
      <c r="V363" s="121">
        <v>2371840000</v>
      </c>
      <c r="W363" s="121">
        <v>2394153000</v>
      </c>
      <c r="X363" s="121"/>
      <c r="Y363" s="121"/>
      <c r="Z363" s="121"/>
      <c r="AA363" s="121"/>
      <c r="AB363" s="121"/>
      <c r="AC363" s="121"/>
      <c r="AD363" s="121"/>
      <c r="AE363" s="121"/>
      <c r="AF363" s="121"/>
      <c r="AG363" s="121"/>
      <c r="AH363" s="121"/>
      <c r="AI363" s="121"/>
      <c r="AJ363" s="52">
        <f t="shared" si="77"/>
        <v>7008734</v>
      </c>
      <c r="AK363" s="124">
        <f>(473000*0.3)+300000</f>
        <v>441900</v>
      </c>
      <c r="AL363" s="127">
        <v>44203</v>
      </c>
      <c r="AM363" s="125">
        <v>415</v>
      </c>
      <c r="AN363" s="54">
        <f>2561*2550</f>
        <v>6530550</v>
      </c>
      <c r="AO363" s="126">
        <f t="shared" si="79"/>
        <v>1120500</v>
      </c>
      <c r="AP363" s="124"/>
      <c r="AQ363" s="55">
        <v>41417361090320</v>
      </c>
      <c r="AR363" s="55">
        <v>250235471200</v>
      </c>
      <c r="AS363" s="55">
        <v>54483638000</v>
      </c>
      <c r="AT363" s="55">
        <v>70234228000</v>
      </c>
      <c r="AU363" s="55">
        <v>19354343</v>
      </c>
      <c r="AV363" s="99">
        <v>2694183597.5999999</v>
      </c>
      <c r="AX363" s="74">
        <f t="shared" si="76"/>
        <v>1.6957678169509218E-3</v>
      </c>
    </row>
    <row r="364" spans="1:50" ht="15">
      <c r="A364" s="41">
        <v>44204</v>
      </c>
      <c r="B364" s="65">
        <v>24191125000</v>
      </c>
      <c r="C364" s="65"/>
      <c r="D364" s="65"/>
      <c r="E364" s="65"/>
      <c r="F364" s="30">
        <f>SUM(B364:E364)</f>
        <v>24191125000</v>
      </c>
      <c r="G364" s="118">
        <f t="shared" si="73"/>
        <v>6531604</v>
      </c>
      <c r="H364" s="58">
        <f>J364-I364</f>
        <v>135030000</v>
      </c>
      <c r="I364" s="58">
        <v>84540000000</v>
      </c>
      <c r="J364" s="58">
        <v>84675030000</v>
      </c>
      <c r="K364" s="58"/>
      <c r="L364" s="58">
        <f>N364-M364</f>
        <v>769985000</v>
      </c>
      <c r="M364" s="58">
        <v>0</v>
      </c>
      <c r="N364" s="58">
        <v>769985000</v>
      </c>
      <c r="O364" s="58">
        <f>Q364-P364</f>
        <v>6072000</v>
      </c>
      <c r="P364" s="58">
        <v>0</v>
      </c>
      <c r="Q364" s="58">
        <v>6072000</v>
      </c>
      <c r="R364" s="58">
        <v>697248000</v>
      </c>
      <c r="S364" s="58"/>
      <c r="T364" s="58"/>
      <c r="U364" s="58">
        <f>W364-V364</f>
        <v>1419000</v>
      </c>
      <c r="V364" s="58">
        <v>0</v>
      </c>
      <c r="W364" s="58">
        <v>1419000</v>
      </c>
      <c r="X364" s="122"/>
      <c r="Y364" s="122"/>
      <c r="Z364" s="122"/>
      <c r="AA364" s="122"/>
      <c r="AB364" s="122"/>
      <c r="AC364" s="122"/>
      <c r="AD364" s="122"/>
      <c r="AE364" s="122"/>
      <c r="AF364" s="122"/>
      <c r="AG364" s="122"/>
      <c r="AH364" s="122"/>
      <c r="AI364" s="122"/>
      <c r="AJ364" s="52">
        <f t="shared" si="77"/>
        <v>15441357</v>
      </c>
      <c r="AK364" s="66">
        <f>(292900*0.3)+300000</f>
        <v>387870</v>
      </c>
      <c r="AL364" s="42">
        <v>44204</v>
      </c>
      <c r="AM364" s="116">
        <v>450</v>
      </c>
      <c r="AN364" s="42">
        <f>2691*2550*3</f>
        <v>20586150</v>
      </c>
      <c r="AO364" s="116">
        <f>AM364*2700</f>
        <v>1215000</v>
      </c>
      <c r="AP364" s="66"/>
      <c r="AQ364" s="55">
        <v>42705608592136</v>
      </c>
      <c r="AR364" s="55">
        <v>318744648000</v>
      </c>
      <c r="AS364" s="55">
        <v>130758254000</v>
      </c>
      <c r="AT364" s="55">
        <v>154949379000</v>
      </c>
      <c r="AU364" s="55">
        <v>44161981</v>
      </c>
      <c r="AV364" s="99">
        <v>2738345578.5999999</v>
      </c>
      <c r="AX364" s="74">
        <f t="shared" si="76"/>
        <v>3.6283145026654194E-3</v>
      </c>
    </row>
    <row r="365" spans="1:50" ht="15">
      <c r="A365" s="28">
        <v>44207</v>
      </c>
      <c r="B365" s="56">
        <v>52037985000</v>
      </c>
      <c r="C365" s="56"/>
      <c r="D365" s="56"/>
      <c r="E365" s="56"/>
      <c r="F365" s="30">
        <f t="shared" ref="F365:F368" si="82">SUM(B365:E365)</f>
        <v>52037985000</v>
      </c>
      <c r="G365" s="118">
        <f t="shared" si="73"/>
        <v>14050256</v>
      </c>
      <c r="H365" s="58">
        <f t="shared" ref="H365:H368" si="83">J365-I365</f>
        <v>7796000000</v>
      </c>
      <c r="I365" s="57">
        <v>111142500000</v>
      </c>
      <c r="J365" s="57">
        <v>118938500000</v>
      </c>
      <c r="K365" s="57"/>
      <c r="L365" s="58">
        <f t="shared" ref="L365:L368" si="84">N365-M365</f>
        <v>3236791000</v>
      </c>
      <c r="M365" s="57">
        <v>18428000000</v>
      </c>
      <c r="N365" s="57">
        <v>21664791000</v>
      </c>
      <c r="O365" s="58">
        <f t="shared" ref="O365:O368" si="85">Q365-P365</f>
        <v>0</v>
      </c>
      <c r="P365" s="57">
        <v>0</v>
      </c>
      <c r="Q365" s="57">
        <v>0</v>
      </c>
      <c r="R365" s="57">
        <v>304557000</v>
      </c>
      <c r="S365" s="58"/>
      <c r="T365" s="58"/>
      <c r="U365" s="58">
        <f t="shared" ref="U365:U368" si="86">W365-V365</f>
        <v>586919000</v>
      </c>
      <c r="V365" s="57">
        <v>503300000</v>
      </c>
      <c r="W365" s="57">
        <v>1090219000</v>
      </c>
      <c r="X365" s="57"/>
      <c r="Y365" s="57"/>
      <c r="Z365" s="57"/>
      <c r="AA365" s="57"/>
      <c r="AB365" s="57"/>
      <c r="AC365" s="57"/>
      <c r="AD365" s="57"/>
      <c r="AE365" s="57"/>
      <c r="AF365" s="57"/>
      <c r="AG365" s="57"/>
      <c r="AH365" s="57"/>
      <c r="AI365" s="57"/>
      <c r="AJ365" s="31">
        <f t="shared" si="77"/>
        <v>24765291</v>
      </c>
      <c r="AK365" s="59">
        <f>(187700*0.3)+300000</f>
        <v>356310</v>
      </c>
      <c r="AL365" s="42">
        <v>44207</v>
      </c>
      <c r="AM365" s="60">
        <v>177</v>
      </c>
      <c r="AN365" s="34">
        <f>2852*2550</f>
        <v>7272600</v>
      </c>
      <c r="AO365" s="60">
        <f>AM365*2700</f>
        <v>477900</v>
      </c>
      <c r="AP365" s="59"/>
      <c r="AQ365" s="55">
        <v>43991235681368</v>
      </c>
      <c r="AR365" s="55">
        <v>619988854000</v>
      </c>
      <c r="AS365" s="55">
        <v>177917231000</v>
      </c>
      <c r="AT365" s="55">
        <v>229955216000</v>
      </c>
      <c r="AU365" s="55">
        <v>46922357</v>
      </c>
      <c r="AV365" s="99">
        <v>2785267935.5999999</v>
      </c>
      <c r="AX365" s="74">
        <f t="shared" si="76"/>
        <v>5.2272961292922941E-3</v>
      </c>
    </row>
    <row r="366" spans="1:50" ht="15">
      <c r="A366" s="28">
        <v>44208</v>
      </c>
      <c r="B366" s="56">
        <v>33487740000</v>
      </c>
      <c r="C366" s="56"/>
      <c r="D366" s="56"/>
      <c r="E366" s="56"/>
      <c r="F366" s="30">
        <f t="shared" si="82"/>
        <v>33487740000</v>
      </c>
      <c r="G366" s="118">
        <f t="shared" si="73"/>
        <v>9041690</v>
      </c>
      <c r="H366" s="58">
        <f t="shared" si="83"/>
        <v>4288719000</v>
      </c>
      <c r="I366" s="57">
        <v>78225000000</v>
      </c>
      <c r="J366" s="57">
        <v>82513719000</v>
      </c>
      <c r="K366" s="57"/>
      <c r="L366" s="58">
        <f t="shared" si="84"/>
        <v>592980000</v>
      </c>
      <c r="M366" s="57">
        <v>36870000000</v>
      </c>
      <c r="N366" s="57">
        <v>37462980000</v>
      </c>
      <c r="O366" s="58">
        <f t="shared" si="85"/>
        <v>0</v>
      </c>
      <c r="P366" s="57">
        <v>0</v>
      </c>
      <c r="Q366" s="57">
        <v>0</v>
      </c>
      <c r="R366" s="57">
        <v>1218085000</v>
      </c>
      <c r="S366" s="58"/>
      <c r="T366" s="58"/>
      <c r="U366" s="58">
        <f t="shared" si="86"/>
        <v>5781000</v>
      </c>
      <c r="V366" s="57">
        <v>4003204000</v>
      </c>
      <c r="W366" s="57">
        <v>4008985000</v>
      </c>
      <c r="X366" s="57"/>
      <c r="Y366" s="57"/>
      <c r="Z366" s="57"/>
      <c r="AA366" s="57"/>
      <c r="AB366" s="57"/>
      <c r="AC366" s="57"/>
      <c r="AD366" s="57"/>
      <c r="AE366" s="57"/>
      <c r="AF366" s="57"/>
      <c r="AG366" s="57"/>
      <c r="AH366" s="57"/>
      <c r="AI366" s="57"/>
      <c r="AJ366" s="31">
        <f t="shared" si="77"/>
        <v>22185196</v>
      </c>
      <c r="AK366" s="59">
        <f>(349200*0.3)+300000</f>
        <v>404760</v>
      </c>
      <c r="AL366" s="42">
        <v>44208</v>
      </c>
      <c r="AM366" s="60">
        <v>180</v>
      </c>
      <c r="AN366" s="34">
        <f>2812*2550</f>
        <v>7170600</v>
      </c>
      <c r="AO366" s="60">
        <f>AM366*2700</f>
        <v>486000</v>
      </c>
      <c r="AP366" s="59"/>
      <c r="AQ366" s="55">
        <v>38467893972258</v>
      </c>
      <c r="AR366" s="55">
        <v>554479430000</v>
      </c>
      <c r="AS366" s="55">
        <v>131747816000</v>
      </c>
      <c r="AT366" s="55">
        <v>165235556000</v>
      </c>
      <c r="AU366" s="55">
        <v>39288246</v>
      </c>
      <c r="AV366" s="99">
        <v>2824556181.5999999</v>
      </c>
      <c r="AX366" s="74">
        <f t="shared" si="76"/>
        <v>4.2954146675969161E-3</v>
      </c>
    </row>
    <row r="367" spans="1:50" ht="15">
      <c r="A367" s="28">
        <v>44209</v>
      </c>
      <c r="B367" s="56">
        <v>2573700000</v>
      </c>
      <c r="C367" s="56">
        <v>6354325000</v>
      </c>
      <c r="D367" s="56"/>
      <c r="E367" s="56"/>
      <c r="F367" s="30">
        <f t="shared" si="82"/>
        <v>8928025000</v>
      </c>
      <c r="G367" s="118">
        <f t="shared" si="73"/>
        <v>2410567</v>
      </c>
      <c r="H367" s="58">
        <f t="shared" si="83"/>
        <v>568155000</v>
      </c>
      <c r="I367" s="57">
        <v>5903000000</v>
      </c>
      <c r="J367" s="57">
        <v>6471155000</v>
      </c>
      <c r="K367" s="57"/>
      <c r="L367" s="58">
        <f t="shared" si="84"/>
        <v>11778842000</v>
      </c>
      <c r="M367" s="57">
        <v>0</v>
      </c>
      <c r="N367" s="57">
        <v>11778842000</v>
      </c>
      <c r="O367" s="58">
        <f t="shared" si="85"/>
        <v>0</v>
      </c>
      <c r="P367" s="57">
        <v>0</v>
      </c>
      <c r="Q367" s="57">
        <v>0</v>
      </c>
      <c r="R367" s="57">
        <v>1176891000</v>
      </c>
      <c r="S367" s="58"/>
      <c r="T367" s="58"/>
      <c r="U367" s="58">
        <f t="shared" si="86"/>
        <v>1480000</v>
      </c>
      <c r="V367" s="57">
        <v>0</v>
      </c>
      <c r="W367" s="57">
        <v>1480000</v>
      </c>
      <c r="X367" s="57"/>
      <c r="Y367" s="57"/>
      <c r="Z367" s="57"/>
      <c r="AA367" s="57"/>
      <c r="AB367" s="57"/>
      <c r="AC367" s="57"/>
      <c r="AD367" s="57"/>
      <c r="AE367" s="57"/>
      <c r="AF367" s="57"/>
      <c r="AG367" s="57"/>
      <c r="AH367" s="57"/>
      <c r="AI367" s="57"/>
      <c r="AJ367" s="31">
        <f t="shared" si="77"/>
        <v>2608122</v>
      </c>
      <c r="AK367" s="59">
        <f>769900*0.3</f>
        <v>230970</v>
      </c>
      <c r="AL367" s="42">
        <v>44209</v>
      </c>
      <c r="AM367" s="60">
        <v>413</v>
      </c>
      <c r="AN367" s="34">
        <f>2695*2550</f>
        <v>6872250</v>
      </c>
      <c r="AO367" s="60">
        <f>AM367*2700</f>
        <v>1115100</v>
      </c>
      <c r="AP367" s="59">
        <v>800000</v>
      </c>
      <c r="AQ367" s="55">
        <v>45192964614514</v>
      </c>
      <c r="AR367" s="55">
        <v>658708576000</v>
      </c>
      <c r="AS367" s="55">
        <v>25905505000</v>
      </c>
      <c r="AT367" s="55">
        <v>34833530000</v>
      </c>
      <c r="AU367" s="55">
        <v>14037009</v>
      </c>
      <c r="AV367" s="99">
        <v>2838593190.5999999</v>
      </c>
      <c r="AX367" s="74">
        <f t="shared" si="76"/>
        <v>7.7077328954013773E-4</v>
      </c>
    </row>
    <row r="368" spans="1:50" ht="15">
      <c r="A368" s="50">
        <v>44210</v>
      </c>
      <c r="B368" s="118">
        <v>0</v>
      </c>
      <c r="C368" s="118">
        <v>12715300000</v>
      </c>
      <c r="D368" s="118"/>
      <c r="E368" s="118"/>
      <c r="F368" s="30">
        <f t="shared" si="82"/>
        <v>12715300000</v>
      </c>
      <c r="G368" s="118">
        <f t="shared" si="73"/>
        <v>3433131</v>
      </c>
      <c r="H368" s="58">
        <f t="shared" si="83"/>
        <v>0</v>
      </c>
      <c r="I368" s="121">
        <v>9870000000</v>
      </c>
      <c r="J368" s="121">
        <v>9870000000</v>
      </c>
      <c r="K368" s="121"/>
      <c r="L368" s="58">
        <f t="shared" si="84"/>
        <v>8087964000</v>
      </c>
      <c r="M368" s="121">
        <v>0</v>
      </c>
      <c r="N368" s="121">
        <v>8087964000</v>
      </c>
      <c r="O368" s="58">
        <f t="shared" si="85"/>
        <v>38075000</v>
      </c>
      <c r="P368" s="121">
        <v>0</v>
      </c>
      <c r="Q368" s="121">
        <v>38075000</v>
      </c>
      <c r="R368" s="121">
        <v>460167000</v>
      </c>
      <c r="S368" s="122"/>
      <c r="T368" s="122"/>
      <c r="U368" s="58">
        <f t="shared" si="86"/>
        <v>0</v>
      </c>
      <c r="V368" s="121">
        <v>0</v>
      </c>
      <c r="W368" s="121">
        <v>0</v>
      </c>
      <c r="X368" s="121"/>
      <c r="Y368" s="121"/>
      <c r="Z368" s="121"/>
      <c r="AA368" s="121"/>
      <c r="AB368" s="121"/>
      <c r="AC368" s="121"/>
      <c r="AD368" s="121"/>
      <c r="AE368" s="121"/>
      <c r="AF368" s="121"/>
      <c r="AG368" s="121"/>
      <c r="AH368" s="121"/>
      <c r="AI368" s="121"/>
      <c r="AJ368" s="31">
        <f t="shared" si="77"/>
        <v>2737042</v>
      </c>
      <c r="AK368" s="124">
        <f>945700*0.3</f>
        <v>283710</v>
      </c>
      <c r="AL368" s="42">
        <v>44210</v>
      </c>
      <c r="AM368" s="125">
        <v>273</v>
      </c>
      <c r="AN368" s="54">
        <f>2720*2550</f>
        <v>6936000</v>
      </c>
      <c r="AO368" s="125">
        <f>AM368*2700</f>
        <v>737100</v>
      </c>
      <c r="AP368" s="124">
        <v>800000</v>
      </c>
      <c r="AQ368" s="55">
        <v>39650882718648</v>
      </c>
      <c r="AR368" s="55">
        <v>218971134000</v>
      </c>
      <c r="AS368" s="55">
        <v>20447225000</v>
      </c>
      <c r="AT368" s="55">
        <v>33162525000</v>
      </c>
      <c r="AU368" s="55">
        <v>14926983</v>
      </c>
      <c r="AV368" s="99">
        <v>2853520173.5999999</v>
      </c>
      <c r="AX368" s="74">
        <f t="shared" si="76"/>
        <v>8.3636284304973386E-4</v>
      </c>
    </row>
    <row r="369" spans="1:50" ht="15">
      <c r="A369" s="41">
        <v>44211</v>
      </c>
      <c r="B369" s="65">
        <v>2560030000</v>
      </c>
      <c r="C369" s="65"/>
      <c r="D369" s="65"/>
      <c r="E369" s="65"/>
      <c r="F369" s="30">
        <f>SUM(B369:E369)</f>
        <v>2560030000</v>
      </c>
      <c r="G369" s="118">
        <f t="shared" si="73"/>
        <v>691208</v>
      </c>
      <c r="H369" s="58">
        <v>12110526000</v>
      </c>
      <c r="I369" s="58">
        <v>17828500000</v>
      </c>
      <c r="J369" s="58">
        <f>I369+H369</f>
        <v>29939026000</v>
      </c>
      <c r="K369" s="58"/>
      <c r="L369" s="58">
        <f>N369-M369</f>
        <v>1948937000</v>
      </c>
      <c r="M369" s="58">
        <v>0</v>
      </c>
      <c r="N369" s="58">
        <v>1948937000</v>
      </c>
      <c r="O369" s="57">
        <f>Q369-P369</f>
        <v>1575000</v>
      </c>
      <c r="P369" s="58"/>
      <c r="Q369" s="58">
        <v>1575000</v>
      </c>
      <c r="R369" s="58">
        <v>646165000</v>
      </c>
      <c r="S369" s="58"/>
      <c r="T369" s="58"/>
      <c r="U369" s="58">
        <v>0</v>
      </c>
      <c r="V369" s="58">
        <v>0</v>
      </c>
      <c r="W369" s="58">
        <v>0</v>
      </c>
      <c r="X369" s="58"/>
      <c r="Y369" s="58"/>
      <c r="Z369" s="58"/>
      <c r="AA369" s="58"/>
      <c r="AB369" s="58"/>
      <c r="AC369" s="58"/>
      <c r="AD369" s="58"/>
      <c r="AE369" s="58"/>
      <c r="AF369" s="58"/>
      <c r="AG369" s="58"/>
      <c r="AH369" s="58"/>
      <c r="AI369" s="58"/>
      <c r="AJ369" s="31">
        <f t="shared" si="77"/>
        <v>4844032</v>
      </c>
      <c r="AK369" s="66">
        <f>787900*0.3</f>
        <v>236370</v>
      </c>
      <c r="AL369" s="42">
        <v>44211</v>
      </c>
      <c r="AM369" s="116">
        <v>203</v>
      </c>
      <c r="AN369" s="42">
        <f>2735*2550*3</f>
        <v>20922750</v>
      </c>
      <c r="AO369" s="125">
        <f t="shared" ref="AO369:AO388" si="87">AM369*2700</f>
        <v>548100</v>
      </c>
      <c r="AP369" s="66"/>
      <c r="AQ369" s="55">
        <v>45502848204656</v>
      </c>
      <c r="AR369" s="55">
        <v>204154468000</v>
      </c>
      <c r="AS369" s="55">
        <v>56792203000</v>
      </c>
      <c r="AT369" s="55">
        <v>59352233000</v>
      </c>
      <c r="AU369" s="55">
        <v>27242460</v>
      </c>
      <c r="AV369" s="99">
        <v>2880762633.5999999</v>
      </c>
      <c r="AX369" s="74">
        <f t="shared" si="76"/>
        <v>1.3043630309262021E-3</v>
      </c>
    </row>
    <row r="370" spans="1:50" ht="15">
      <c r="A370" s="28">
        <v>44214</v>
      </c>
      <c r="B370" s="56">
        <v>38563320000</v>
      </c>
      <c r="C370" s="56"/>
      <c r="D370" s="56"/>
      <c r="E370" s="56"/>
      <c r="F370" s="30">
        <f>SUM(B370:E370)</f>
        <v>38563320000</v>
      </c>
      <c r="G370" s="118">
        <f t="shared" si="73"/>
        <v>10412096</v>
      </c>
      <c r="H370" s="58">
        <f t="shared" ref="H370:H379" si="88">J370-I370</f>
        <v>1182175000</v>
      </c>
      <c r="I370" s="57">
        <v>61343500000</v>
      </c>
      <c r="J370" s="57">
        <v>62525675000</v>
      </c>
      <c r="K370" s="57"/>
      <c r="L370" s="58">
        <f>N370-M370</f>
        <v>0</v>
      </c>
      <c r="M370" s="57">
        <v>0</v>
      </c>
      <c r="N370" s="57">
        <v>0</v>
      </c>
      <c r="O370" s="57">
        <f>Q370-P370</f>
        <v>7881000</v>
      </c>
      <c r="P370" s="57">
        <v>0</v>
      </c>
      <c r="Q370" s="57">
        <v>7881000</v>
      </c>
      <c r="R370" s="57">
        <v>495949000</v>
      </c>
      <c r="S370" s="57"/>
      <c r="T370" s="57"/>
      <c r="U370" s="57">
        <v>0</v>
      </c>
      <c r="V370" s="57">
        <v>0</v>
      </c>
      <c r="W370" s="57">
        <v>0</v>
      </c>
      <c r="X370" s="57"/>
      <c r="Y370" s="57"/>
      <c r="Z370" s="57"/>
      <c r="AA370" s="57"/>
      <c r="AB370" s="57"/>
      <c r="AC370" s="57"/>
      <c r="AD370" s="57"/>
      <c r="AE370" s="57"/>
      <c r="AF370" s="57"/>
      <c r="AG370" s="57"/>
      <c r="AH370" s="57"/>
      <c r="AI370" s="57"/>
      <c r="AJ370" s="31">
        <f t="shared" si="77"/>
        <v>11259627</v>
      </c>
      <c r="AK370" s="59">
        <f>(404700*0.3)+300000</f>
        <v>421410</v>
      </c>
      <c r="AL370" s="42">
        <v>44214</v>
      </c>
      <c r="AM370" s="60">
        <f>1011</f>
        <v>1011</v>
      </c>
      <c r="AN370" s="34">
        <f>2916*2550</f>
        <v>7435800</v>
      </c>
      <c r="AO370" s="125">
        <f t="shared" si="87"/>
        <v>2729700</v>
      </c>
      <c r="AP370" s="59"/>
      <c r="AQ370" s="55">
        <v>41074022860964</v>
      </c>
      <c r="AR370" s="55">
        <v>545812710000</v>
      </c>
      <c r="AS370" s="55">
        <v>107258216000</v>
      </c>
      <c r="AT370" s="55">
        <v>145821536000</v>
      </c>
      <c r="AU370" s="55">
        <v>32258633</v>
      </c>
      <c r="AV370" s="99">
        <v>2913021266.5999999</v>
      </c>
      <c r="AX370" s="74">
        <f t="shared" si="76"/>
        <v>3.5502131479452944E-3</v>
      </c>
    </row>
    <row r="371" spans="1:50" ht="15">
      <c r="A371" s="28">
        <v>44215</v>
      </c>
      <c r="B371" s="56">
        <v>17596470000</v>
      </c>
      <c r="C371" s="56"/>
      <c r="D371" s="56"/>
      <c r="E371" s="56"/>
      <c r="F371" s="30">
        <f t="shared" ref="F371:F378" si="89">SUM(B371:E371)</f>
        <v>17596470000</v>
      </c>
      <c r="G371" s="118">
        <f t="shared" si="73"/>
        <v>4751047</v>
      </c>
      <c r="H371" s="58">
        <f t="shared" si="88"/>
        <v>826572000</v>
      </c>
      <c r="I371" s="57">
        <v>61120750000</v>
      </c>
      <c r="J371" s="57">
        <v>61947322000</v>
      </c>
      <c r="K371" s="57"/>
      <c r="L371" s="57">
        <f>N371-M371</f>
        <v>3526761000</v>
      </c>
      <c r="M371" s="57">
        <v>0</v>
      </c>
      <c r="N371" s="57">
        <v>3526761000</v>
      </c>
      <c r="O371" s="57">
        <f>Q371-P371</f>
        <v>13544000</v>
      </c>
      <c r="P371" s="57">
        <v>0</v>
      </c>
      <c r="Q371" s="57">
        <v>13544000</v>
      </c>
      <c r="R371" s="57">
        <v>323179000</v>
      </c>
      <c r="S371" s="57"/>
      <c r="T371" s="57"/>
      <c r="U371" s="57">
        <f>W371-V371</f>
        <v>4299000</v>
      </c>
      <c r="V371" s="57">
        <v>0</v>
      </c>
      <c r="W371" s="57">
        <v>4299000</v>
      </c>
      <c r="X371" s="57"/>
      <c r="Y371" s="57"/>
      <c r="Z371" s="57"/>
      <c r="AA371" s="57"/>
      <c r="AB371" s="57"/>
      <c r="AC371" s="57"/>
      <c r="AD371" s="57"/>
      <c r="AE371" s="57"/>
      <c r="AF371" s="57"/>
      <c r="AG371" s="57"/>
      <c r="AH371" s="57"/>
      <c r="AI371" s="57"/>
      <c r="AJ371" s="31">
        <f t="shared" si="77"/>
        <v>11532304</v>
      </c>
      <c r="AK371" s="59">
        <f>(147500*0.3)+300000</f>
        <v>344250</v>
      </c>
      <c r="AL371" s="42">
        <v>44215</v>
      </c>
      <c r="AM371" s="60">
        <v>1331</v>
      </c>
      <c r="AN371" s="34">
        <f>2321*2550</f>
        <v>5918550</v>
      </c>
      <c r="AO371" s="125">
        <f t="shared" si="87"/>
        <v>3593700</v>
      </c>
      <c r="AP371" s="59"/>
      <c r="AQ371" s="55">
        <v>51633799558456</v>
      </c>
      <c r="AR371" s="55">
        <v>290825080000</v>
      </c>
      <c r="AS371" s="55">
        <v>67974462000</v>
      </c>
      <c r="AT371" s="55">
        <v>85570932000</v>
      </c>
      <c r="AU371" s="55">
        <v>26139851</v>
      </c>
      <c r="AV371" s="99">
        <v>2939161117.5999999</v>
      </c>
      <c r="AX371" s="74">
        <f t="shared" si="76"/>
        <v>1.6572658361723482E-3</v>
      </c>
    </row>
    <row r="372" spans="1:50" ht="15">
      <c r="A372" s="28">
        <v>44216</v>
      </c>
      <c r="B372" s="56">
        <v>61063820000</v>
      </c>
      <c r="C372" s="56"/>
      <c r="D372" s="56"/>
      <c r="E372" s="56"/>
      <c r="F372" s="30">
        <f t="shared" si="89"/>
        <v>61063820000</v>
      </c>
      <c r="G372" s="118">
        <f t="shared" si="73"/>
        <v>16487231</v>
      </c>
      <c r="H372" s="58">
        <f t="shared" si="88"/>
        <v>11282000</v>
      </c>
      <c r="I372" s="57">
        <v>88577000000</v>
      </c>
      <c r="J372" s="57">
        <v>88588282000</v>
      </c>
      <c r="K372" s="57"/>
      <c r="L372" s="57">
        <f t="shared" ref="L372:L373" si="90">N372-M372</f>
        <v>1804000</v>
      </c>
      <c r="M372" s="57">
        <v>0</v>
      </c>
      <c r="N372" s="57">
        <v>1804000</v>
      </c>
      <c r="O372" s="57">
        <f t="shared" ref="O372:O373" si="91">Q372-P372</f>
        <v>11304000</v>
      </c>
      <c r="P372" s="57">
        <v>0</v>
      </c>
      <c r="Q372" s="57">
        <v>11304000</v>
      </c>
      <c r="R372" s="57">
        <v>92306000</v>
      </c>
      <c r="S372" s="57"/>
      <c r="T372" s="57"/>
      <c r="U372" s="57">
        <f>W372-V372</f>
        <v>6849000</v>
      </c>
      <c r="V372" s="57">
        <v>0</v>
      </c>
      <c r="W372" s="57">
        <v>6849000</v>
      </c>
      <c r="X372" s="57"/>
      <c r="Y372" s="57"/>
      <c r="Z372" s="57"/>
      <c r="AA372" s="57"/>
      <c r="AB372" s="57"/>
      <c r="AC372" s="57"/>
      <c r="AD372" s="57"/>
      <c r="AE372" s="57"/>
      <c r="AF372" s="57"/>
      <c r="AG372" s="57"/>
      <c r="AH372" s="57"/>
      <c r="AI372" s="57"/>
      <c r="AJ372" s="31">
        <f t="shared" si="77"/>
        <v>15964342</v>
      </c>
      <c r="AK372" s="59">
        <f>(4400*0.3)+300000</f>
        <v>301320</v>
      </c>
      <c r="AL372" s="42">
        <v>44216</v>
      </c>
      <c r="AM372" s="60">
        <v>674</v>
      </c>
      <c r="AN372" s="34">
        <f>2345*2550</f>
        <v>5979750</v>
      </c>
      <c r="AO372" s="125">
        <f t="shared" si="87"/>
        <v>1819800</v>
      </c>
      <c r="AP372" s="59"/>
      <c r="AQ372" s="55">
        <v>42367744205882</v>
      </c>
      <c r="AR372" s="55">
        <v>538059786000</v>
      </c>
      <c r="AS372" s="55">
        <v>123652390000</v>
      </c>
      <c r="AT372" s="55">
        <v>184716210000</v>
      </c>
      <c r="AU372" s="55">
        <v>40552443</v>
      </c>
      <c r="AV372" s="99">
        <v>2979713560.5999999</v>
      </c>
      <c r="AX372" s="74">
        <f t="shared" si="76"/>
        <v>4.3598311277180408E-3</v>
      </c>
    </row>
    <row r="373" spans="1:50" ht="15">
      <c r="A373" s="50">
        <v>44217</v>
      </c>
      <c r="B373" s="118">
        <v>35171255000</v>
      </c>
      <c r="C373" s="118"/>
      <c r="D373" s="118"/>
      <c r="E373" s="118"/>
      <c r="F373" s="30">
        <f t="shared" si="89"/>
        <v>35171255000</v>
      </c>
      <c r="G373" s="118">
        <f t="shared" si="73"/>
        <v>9496239</v>
      </c>
      <c r="H373" s="58">
        <f t="shared" si="88"/>
        <v>0</v>
      </c>
      <c r="I373" s="121">
        <v>61898260000</v>
      </c>
      <c r="J373" s="121">
        <v>61898260000</v>
      </c>
      <c r="K373" s="121"/>
      <c r="L373" s="57">
        <f t="shared" si="90"/>
        <v>1845541000</v>
      </c>
      <c r="M373" s="121">
        <v>0</v>
      </c>
      <c r="N373" s="121">
        <v>1845541000</v>
      </c>
      <c r="O373" s="57">
        <f t="shared" si="91"/>
        <v>157383000</v>
      </c>
      <c r="P373" s="121">
        <v>0</v>
      </c>
      <c r="Q373" s="121">
        <v>157383000</v>
      </c>
      <c r="R373" s="121">
        <v>837376000</v>
      </c>
      <c r="S373" s="121"/>
      <c r="T373" s="121"/>
      <c r="U373" s="57">
        <f>W373-V373</f>
        <v>2828000</v>
      </c>
      <c r="V373" s="121">
        <v>0</v>
      </c>
      <c r="W373" s="121">
        <v>2828000</v>
      </c>
      <c r="X373" s="121"/>
      <c r="Y373" s="121"/>
      <c r="Z373" s="121"/>
      <c r="AA373" s="121"/>
      <c r="AB373" s="121"/>
      <c r="AC373" s="121"/>
      <c r="AD373" s="121"/>
      <c r="AE373" s="121"/>
      <c r="AF373" s="121"/>
      <c r="AG373" s="121"/>
      <c r="AH373" s="121"/>
      <c r="AI373" s="121"/>
      <c r="AJ373" s="31">
        <f t="shared" si="77"/>
        <v>11509239</v>
      </c>
      <c r="AK373" s="124">
        <f>341500*0.3</f>
        <v>102450</v>
      </c>
      <c r="AL373" s="42">
        <v>44217</v>
      </c>
      <c r="AM373" s="125">
        <v>765</v>
      </c>
      <c r="AN373" s="54">
        <f>(1839+1257)*2550</f>
        <v>7894800</v>
      </c>
      <c r="AO373" s="125">
        <f t="shared" si="87"/>
        <v>2065500</v>
      </c>
      <c r="AP373" s="124"/>
      <c r="AQ373" s="55">
        <v>37274808703880</v>
      </c>
      <c r="AR373" s="55">
        <v>766873774000</v>
      </c>
      <c r="AS373" s="55">
        <v>147358183000</v>
      </c>
      <c r="AT373" s="55">
        <v>182529438000</v>
      </c>
      <c r="AU373" s="55">
        <v>31068228</v>
      </c>
      <c r="AV373" s="99">
        <v>3010781788.5999999</v>
      </c>
      <c r="AX373" s="74">
        <f t="shared" si="76"/>
        <v>4.8968578068383272E-3</v>
      </c>
    </row>
    <row r="374" spans="1:50" ht="15">
      <c r="A374" s="41">
        <v>44218</v>
      </c>
      <c r="B374" s="65">
        <v>35178145000</v>
      </c>
      <c r="C374" s="65">
        <v>26059890000</v>
      </c>
      <c r="D374" s="65"/>
      <c r="E374" s="65"/>
      <c r="F374" s="30">
        <f t="shared" si="89"/>
        <v>61238035000</v>
      </c>
      <c r="G374" s="118">
        <f t="shared" si="73"/>
        <v>16534269</v>
      </c>
      <c r="H374" s="57">
        <f t="shared" si="88"/>
        <v>3862000000</v>
      </c>
      <c r="I374" s="58">
        <v>195486500000</v>
      </c>
      <c r="J374" s="58">
        <v>199348500000</v>
      </c>
      <c r="K374" s="58"/>
      <c r="L374" s="58">
        <v>0</v>
      </c>
      <c r="M374" s="58">
        <v>0</v>
      </c>
      <c r="N374" s="58">
        <v>0</v>
      </c>
      <c r="O374" s="57">
        <f>Q374-P374</f>
        <v>454922000</v>
      </c>
      <c r="P374" s="58"/>
      <c r="Q374" s="58">
        <v>454922000</v>
      </c>
      <c r="R374" s="58">
        <v>525057000</v>
      </c>
      <c r="S374" s="58"/>
      <c r="T374" s="58"/>
      <c r="U374" s="57">
        <f>W374-V374</f>
        <v>1433000</v>
      </c>
      <c r="V374" s="58">
        <v>0</v>
      </c>
      <c r="W374" s="58">
        <v>1433000</v>
      </c>
      <c r="X374" s="58"/>
      <c r="Y374" s="58"/>
      <c r="Z374" s="58"/>
      <c r="AA374" s="58"/>
      <c r="AB374" s="58"/>
      <c r="AC374" s="58"/>
      <c r="AD374" s="58"/>
      <c r="AE374" s="58"/>
      <c r="AF374" s="58"/>
      <c r="AG374" s="58"/>
      <c r="AH374" s="58"/>
      <c r="AI374" s="58"/>
      <c r="AJ374" s="31">
        <f t="shared" si="77"/>
        <v>35748566</v>
      </c>
      <c r="AK374" s="66">
        <f>(30200*0.3)+300000</f>
        <v>309060</v>
      </c>
      <c r="AL374" s="42">
        <v>44218</v>
      </c>
      <c r="AM374" s="116">
        <v>236</v>
      </c>
      <c r="AN374" s="42">
        <f>(1762+309)*2550*3</f>
        <v>15843150</v>
      </c>
      <c r="AO374" s="125">
        <f t="shared" si="87"/>
        <v>637200</v>
      </c>
      <c r="AP374" s="66">
        <v>800000</v>
      </c>
      <c r="AQ374" s="55">
        <v>38331258940528</v>
      </c>
      <c r="AR374" s="55">
        <v>889391778000</v>
      </c>
      <c r="AS374" s="55">
        <v>363547350000</v>
      </c>
      <c r="AT374" s="55">
        <v>424785385000</v>
      </c>
      <c r="AU374" s="55">
        <v>69872245</v>
      </c>
      <c r="AV374" s="99">
        <v>3080654033.5999999</v>
      </c>
      <c r="AX374" s="74">
        <f t="shared" si="76"/>
        <v>1.1081957565209799E-2</v>
      </c>
    </row>
    <row r="375" spans="1:50" ht="15">
      <c r="A375" s="28">
        <v>44221</v>
      </c>
      <c r="B375" s="56">
        <v>0</v>
      </c>
      <c r="C375" s="56">
        <v>0</v>
      </c>
      <c r="D375" s="56"/>
      <c r="E375" s="56"/>
      <c r="F375" s="30">
        <f t="shared" si="89"/>
        <v>0</v>
      </c>
      <c r="G375" s="118">
        <f t="shared" si="73"/>
        <v>0</v>
      </c>
      <c r="H375" s="57">
        <f t="shared" si="88"/>
        <v>1950000000</v>
      </c>
      <c r="I375" s="57">
        <v>50381000000</v>
      </c>
      <c r="J375" s="57">
        <v>52331000000</v>
      </c>
      <c r="K375" s="57">
        <v>0</v>
      </c>
      <c r="L375" s="57">
        <f>N375-M375</f>
        <v>35886000</v>
      </c>
      <c r="M375" s="57">
        <v>0</v>
      </c>
      <c r="N375" s="57">
        <v>35886000</v>
      </c>
      <c r="O375" s="57">
        <f>Q375-P375</f>
        <v>206932000</v>
      </c>
      <c r="P375" s="57">
        <v>0</v>
      </c>
      <c r="Q375" s="57">
        <f>57532000+149400000</f>
        <v>206932000</v>
      </c>
      <c r="R375" s="57">
        <f>564738000+225900000</f>
        <v>790638000</v>
      </c>
      <c r="S375" s="57"/>
      <c r="T375" s="57"/>
      <c r="U375" s="57">
        <f>W375-V375</f>
        <v>0</v>
      </c>
      <c r="V375" s="57">
        <v>0</v>
      </c>
      <c r="W375" s="57">
        <v>0</v>
      </c>
      <c r="X375" s="57"/>
      <c r="Y375" s="57"/>
      <c r="Z375" s="57"/>
      <c r="AA375" s="57"/>
      <c r="AB375" s="57"/>
      <c r="AC375" s="57"/>
      <c r="AD375" s="57"/>
      <c r="AE375" s="57"/>
      <c r="AF375" s="57"/>
      <c r="AG375" s="57"/>
      <c r="AH375" s="57"/>
      <c r="AI375" s="57"/>
      <c r="AJ375" s="31">
        <f t="shared" si="77"/>
        <v>9447719</v>
      </c>
      <c r="AK375" s="59">
        <f>43100*0.3</f>
        <v>12930</v>
      </c>
      <c r="AL375" s="42">
        <v>44221</v>
      </c>
      <c r="AM375" s="60">
        <v>481</v>
      </c>
      <c r="AN375" s="34">
        <f>(2138+304)*2550</f>
        <v>6227100</v>
      </c>
      <c r="AO375" s="125">
        <f t="shared" si="87"/>
        <v>1298700</v>
      </c>
      <c r="AP375" s="59"/>
      <c r="AQ375" s="55">
        <v>37489469124048</v>
      </c>
      <c r="AR375" s="55">
        <v>735343700000</v>
      </c>
      <c r="AS375" s="55">
        <v>104442784000</v>
      </c>
      <c r="AT375" s="55">
        <v>104442784000</v>
      </c>
      <c r="AU375" s="55">
        <v>16986449</v>
      </c>
      <c r="AV375" s="99">
        <v>3097640482.5999999</v>
      </c>
      <c r="AX375" s="74">
        <f t="shared" si="76"/>
        <v>2.7859232589933932E-3</v>
      </c>
    </row>
    <row r="376" spans="1:50" ht="15">
      <c r="A376" s="28">
        <v>44222</v>
      </c>
      <c r="B376" s="56">
        <v>17397526000</v>
      </c>
      <c r="C376" s="56">
        <v>47171270000</v>
      </c>
      <c r="D376" s="56"/>
      <c r="E376" s="56"/>
      <c r="F376" s="30">
        <f t="shared" si="89"/>
        <v>64568796000</v>
      </c>
      <c r="G376" s="118">
        <f t="shared" si="73"/>
        <v>17433575</v>
      </c>
      <c r="H376" s="57">
        <f t="shared" si="88"/>
        <v>11323013000</v>
      </c>
      <c r="I376" s="57">
        <v>40149000000</v>
      </c>
      <c r="J376" s="57">
        <v>51472013000</v>
      </c>
      <c r="K376" s="57"/>
      <c r="L376" s="57">
        <f t="shared" ref="L376:L378" si="92">N376-M376</f>
        <v>8353886000</v>
      </c>
      <c r="M376" s="57">
        <v>0</v>
      </c>
      <c r="N376" s="57">
        <v>8353886000</v>
      </c>
      <c r="O376" s="57">
        <f t="shared" ref="O376:O378" si="93">Q376-P376</f>
        <v>305800000</v>
      </c>
      <c r="P376" s="57">
        <v>0</v>
      </c>
      <c r="Q376" s="57">
        <v>305800000</v>
      </c>
      <c r="R376" s="57">
        <v>537789000</v>
      </c>
      <c r="S376" s="57"/>
      <c r="T376" s="57"/>
      <c r="U376" s="57">
        <f t="shared" ref="U376:U378" si="94">W376-V376</f>
        <v>2824000</v>
      </c>
      <c r="V376" s="57">
        <v>0</v>
      </c>
      <c r="W376" s="57">
        <v>2824000</v>
      </c>
      <c r="X376" s="57"/>
      <c r="Y376" s="57"/>
      <c r="Z376" s="57"/>
      <c r="AA376" s="57"/>
      <c r="AB376" s="57"/>
      <c r="AC376" s="57"/>
      <c r="AD376" s="57"/>
      <c r="AE376" s="57"/>
      <c r="AF376" s="57"/>
      <c r="AG376" s="57"/>
      <c r="AH376" s="57"/>
      <c r="AI376" s="57"/>
      <c r="AJ376" s="31">
        <f t="shared" si="77"/>
        <v>9482262</v>
      </c>
      <c r="AK376" s="59">
        <f>(816500*0.3)+300000</f>
        <v>544950</v>
      </c>
      <c r="AL376" s="42">
        <v>44222</v>
      </c>
      <c r="AM376" s="60">
        <v>977</v>
      </c>
      <c r="AN376" s="34">
        <f>2587*2550</f>
        <v>6596850</v>
      </c>
      <c r="AO376" s="125">
        <f t="shared" si="87"/>
        <v>2637900</v>
      </c>
      <c r="AP376" s="59">
        <v>800000</v>
      </c>
      <c r="AQ376" s="55">
        <v>40228904560044</v>
      </c>
      <c r="AR376" s="55">
        <v>460376930000</v>
      </c>
      <c r="AS376" s="55">
        <v>78323597000</v>
      </c>
      <c r="AT376" s="55">
        <v>142892393000</v>
      </c>
      <c r="AU376" s="55">
        <v>37495537</v>
      </c>
      <c r="AV376" s="99">
        <v>3135136019.5999999</v>
      </c>
      <c r="AX376" s="74">
        <f t="shared" si="76"/>
        <v>3.5519831962295845E-3</v>
      </c>
    </row>
    <row r="377" spans="1:50" ht="15">
      <c r="A377" s="28">
        <v>44223</v>
      </c>
      <c r="B377" s="56">
        <v>39898230000</v>
      </c>
      <c r="C377" s="56"/>
      <c r="D377" s="56"/>
      <c r="E377" s="56"/>
      <c r="F377" s="30">
        <f t="shared" si="89"/>
        <v>39898230000</v>
      </c>
      <c r="G377" s="118">
        <f t="shared" si="73"/>
        <v>10772522</v>
      </c>
      <c r="H377" s="57">
        <f t="shared" si="88"/>
        <v>20163794000</v>
      </c>
      <c r="I377" s="57">
        <v>1861000000</v>
      </c>
      <c r="J377" s="57">
        <v>22024794000</v>
      </c>
      <c r="K377" s="57"/>
      <c r="L377" s="57">
        <f t="shared" si="92"/>
        <v>8728744000</v>
      </c>
      <c r="M377" s="57">
        <v>0</v>
      </c>
      <c r="N377" s="57">
        <v>8728744000</v>
      </c>
      <c r="O377" s="57">
        <f t="shared" si="93"/>
        <v>4203000</v>
      </c>
      <c r="P377" s="57">
        <v>0</v>
      </c>
      <c r="Q377" s="57">
        <v>4203000</v>
      </c>
      <c r="R377" s="57">
        <v>225150000</v>
      </c>
      <c r="S377" s="57"/>
      <c r="T377" s="57"/>
      <c r="U377" s="57">
        <f t="shared" si="94"/>
        <v>4113000</v>
      </c>
      <c r="V377" s="57">
        <v>0</v>
      </c>
      <c r="W377" s="57">
        <v>4113000</v>
      </c>
      <c r="X377" s="57"/>
      <c r="Y377" s="57"/>
      <c r="Z377" s="57"/>
      <c r="AA377" s="57"/>
      <c r="AB377" s="57"/>
      <c r="AC377" s="57"/>
      <c r="AD377" s="57"/>
      <c r="AE377" s="57"/>
      <c r="AF377" s="57"/>
      <c r="AG377" s="57"/>
      <c r="AH377" s="57"/>
      <c r="AI377" s="57"/>
      <c r="AJ377" s="31">
        <f t="shared" si="77"/>
        <v>3497095</v>
      </c>
      <c r="AK377" s="59">
        <f>686100*0.3</f>
        <v>205830</v>
      </c>
      <c r="AL377" s="42">
        <v>44223</v>
      </c>
      <c r="AM377" s="60">
        <v>477</v>
      </c>
      <c r="AN377" s="34">
        <f>(2206+314)*2550</f>
        <v>6426000</v>
      </c>
      <c r="AO377" s="125">
        <f t="shared" si="87"/>
        <v>1287900</v>
      </c>
      <c r="AP377" s="59"/>
      <c r="AQ377" s="55">
        <v>39611015657504</v>
      </c>
      <c r="AR377" s="55">
        <v>526573382000</v>
      </c>
      <c r="AS377" s="55">
        <v>33078714000</v>
      </c>
      <c r="AT377" s="55">
        <v>72976944000</v>
      </c>
      <c r="AU377" s="55">
        <v>22189347</v>
      </c>
      <c r="AV377" s="99">
        <v>3157325366.5999999</v>
      </c>
      <c r="AX377" s="74">
        <f t="shared" si="76"/>
        <v>1.8423396317578413E-3</v>
      </c>
    </row>
    <row r="378" spans="1:50" ht="15">
      <c r="A378" s="50">
        <v>44224</v>
      </c>
      <c r="B378" s="118">
        <v>17973255000</v>
      </c>
      <c r="C378" s="118"/>
      <c r="D378" s="118">
        <v>1089760000</v>
      </c>
      <c r="E378" s="118"/>
      <c r="F378" s="30">
        <f t="shared" si="89"/>
        <v>19063015000</v>
      </c>
      <c r="G378" s="118">
        <f t="shared" si="73"/>
        <v>5147014</v>
      </c>
      <c r="H378" s="57">
        <f t="shared" si="88"/>
        <v>3650540000</v>
      </c>
      <c r="I378" s="57">
        <v>54066000000</v>
      </c>
      <c r="J378" s="121">
        <v>57716540000</v>
      </c>
      <c r="K378" s="121"/>
      <c r="L378" s="57">
        <f t="shared" si="92"/>
        <v>1883190000</v>
      </c>
      <c r="M378" s="121"/>
      <c r="N378" s="121">
        <v>1883190000</v>
      </c>
      <c r="O378" s="57">
        <f t="shared" si="93"/>
        <v>148438000</v>
      </c>
      <c r="P378" s="121"/>
      <c r="Q378" s="121">
        <v>148438000</v>
      </c>
      <c r="R378" s="121">
        <v>192506000</v>
      </c>
      <c r="S378" s="121"/>
      <c r="T378" s="121"/>
      <c r="U378" s="57">
        <f t="shared" si="94"/>
        <v>5147000</v>
      </c>
      <c r="V378" s="121"/>
      <c r="W378" s="121">
        <v>5147000</v>
      </c>
      <c r="X378" s="121"/>
      <c r="Y378" s="121"/>
      <c r="Z378" s="121"/>
      <c r="AA378" s="121"/>
      <c r="AB378" s="121"/>
      <c r="AC378" s="121"/>
      <c r="AD378" s="121"/>
      <c r="AE378" s="121"/>
      <c r="AF378" s="121"/>
      <c r="AG378" s="121"/>
      <c r="AH378" s="121"/>
      <c r="AI378" s="121"/>
      <c r="AJ378" s="31">
        <f t="shared" si="77"/>
        <v>10381132</v>
      </c>
      <c r="AK378" s="124">
        <f>(397500*0.3)+300000</f>
        <v>419250</v>
      </c>
      <c r="AL378" s="42">
        <v>44224</v>
      </c>
      <c r="AM378" s="125">
        <v>323</v>
      </c>
      <c r="AN378" s="54">
        <f>2221*2550</f>
        <v>5663550</v>
      </c>
      <c r="AO378" s="125">
        <f t="shared" si="87"/>
        <v>872100</v>
      </c>
      <c r="AP378" s="124">
        <v>11237455</v>
      </c>
      <c r="AQ378" s="55">
        <v>42525758767784</v>
      </c>
      <c r="AR378" s="55">
        <v>654386304000</v>
      </c>
      <c r="AS378" s="55">
        <v>267600173000</v>
      </c>
      <c r="AT378" s="55">
        <v>286663188000</v>
      </c>
      <c r="AU378" s="55">
        <v>33720501</v>
      </c>
      <c r="AV378" s="99">
        <v>3191045867.5999999</v>
      </c>
      <c r="AX378" s="74">
        <f t="shared" si="76"/>
        <v>6.7409305866910438E-3</v>
      </c>
    </row>
    <row r="379" spans="1:50" ht="15">
      <c r="A379" s="41">
        <v>44225</v>
      </c>
      <c r="B379" s="65">
        <v>29260830000</v>
      </c>
      <c r="C379" s="65"/>
      <c r="D379" s="65"/>
      <c r="E379" s="65"/>
      <c r="F379" s="30">
        <f>SUM(B379:E379)</f>
        <v>29260830000</v>
      </c>
      <c r="G379" s="120">
        <f t="shared" si="73"/>
        <v>7900424</v>
      </c>
      <c r="H379" s="58">
        <f t="shared" si="88"/>
        <v>16194037000</v>
      </c>
      <c r="I379" s="58">
        <v>46787000000</v>
      </c>
      <c r="J379" s="58">
        <v>62981037000</v>
      </c>
      <c r="K379" s="58"/>
      <c r="L379" s="58">
        <f>N379-M379</f>
        <v>1529141000</v>
      </c>
      <c r="M379" s="58">
        <v>0</v>
      </c>
      <c r="N379" s="58">
        <v>1529141000</v>
      </c>
      <c r="O379" s="58">
        <f>Q379-P379</f>
        <v>30772000</v>
      </c>
      <c r="P379" s="58">
        <v>0</v>
      </c>
      <c r="Q379" s="58">
        <v>30772000</v>
      </c>
      <c r="R379" s="58">
        <v>660500000</v>
      </c>
      <c r="S379" s="58"/>
      <c r="T379" s="58"/>
      <c r="U379" s="58">
        <f>W379-V379</f>
        <v>5139000</v>
      </c>
      <c r="V379" s="58">
        <v>0</v>
      </c>
      <c r="W379" s="58">
        <v>5139000</v>
      </c>
      <c r="X379" s="58"/>
      <c r="Y379" s="58"/>
      <c r="Z379" s="58"/>
      <c r="AA379" s="58"/>
      <c r="AB379" s="58"/>
      <c r="AC379" s="58"/>
      <c r="AD379" s="58"/>
      <c r="AE379" s="58"/>
      <c r="AF379" s="58"/>
      <c r="AG379" s="58"/>
      <c r="AH379" s="58"/>
      <c r="AI379" s="58"/>
      <c r="AJ379" s="31">
        <f t="shared" si="77"/>
        <v>10458902</v>
      </c>
      <c r="AK379" s="66">
        <f>544900*0.3</f>
        <v>163470</v>
      </c>
      <c r="AL379" s="42">
        <v>44225</v>
      </c>
      <c r="AM379" s="42">
        <v>546</v>
      </c>
      <c r="AN379" s="42">
        <f>2721*2550*3</f>
        <v>20815650</v>
      </c>
      <c r="AO379" s="125">
        <f t="shared" si="87"/>
        <v>1474200</v>
      </c>
      <c r="AP379" s="59">
        <v>1600000</v>
      </c>
      <c r="AQ379" s="55">
        <v>42828878709788</v>
      </c>
      <c r="AR379" s="55">
        <v>948057674000</v>
      </c>
      <c r="AS379" s="55">
        <v>298048426000</v>
      </c>
      <c r="AT379" s="55">
        <v>340451796000</v>
      </c>
      <c r="AU379" s="55">
        <v>42412646</v>
      </c>
      <c r="AV379" s="99">
        <v>3233458513.5999999</v>
      </c>
      <c r="AX379" s="74">
        <f t="shared" si="76"/>
        <v>7.9491176574322513E-3</v>
      </c>
    </row>
    <row r="380" spans="1:50" ht="15">
      <c r="A380" s="28">
        <v>44228</v>
      </c>
      <c r="B380" s="56">
        <v>9257605000</v>
      </c>
      <c r="C380" s="56"/>
      <c r="D380" s="56"/>
      <c r="E380" s="56"/>
      <c r="F380" s="30">
        <f t="shared" ref="F380:F383" si="95">SUM(B380:E380)</f>
        <v>9257605000</v>
      </c>
      <c r="G380" s="118">
        <f t="shared" si="73"/>
        <v>2499553</v>
      </c>
      <c r="H380" s="58">
        <f>J380-I380</f>
        <v>209595000</v>
      </c>
      <c r="I380" s="57">
        <v>14075000000</v>
      </c>
      <c r="J380" s="57">
        <v>14284595000</v>
      </c>
      <c r="K380" s="57"/>
      <c r="L380" s="58">
        <v>476375000</v>
      </c>
      <c r="M380" s="57"/>
      <c r="N380" s="57">
        <v>476375000</v>
      </c>
      <c r="O380" s="58">
        <f t="shared" ref="O380:O383" si="96">Q380-P380</f>
        <v>9423000</v>
      </c>
      <c r="P380" s="57"/>
      <c r="Q380" s="57">
        <v>9423000</v>
      </c>
      <c r="R380" s="57">
        <v>421434000</v>
      </c>
      <c r="S380" s="58"/>
      <c r="T380" s="58"/>
      <c r="U380" s="58">
        <v>1327000</v>
      </c>
      <c r="V380" s="57"/>
      <c r="W380" s="57">
        <v>1327000</v>
      </c>
      <c r="X380" s="57"/>
      <c r="Y380" s="57"/>
      <c r="Z380" s="57"/>
      <c r="AA380" s="57"/>
      <c r="AB380" s="57"/>
      <c r="AC380" s="57"/>
      <c r="AD380" s="57"/>
      <c r="AE380" s="57"/>
      <c r="AF380" s="57"/>
      <c r="AG380" s="57"/>
      <c r="AH380" s="57"/>
      <c r="AI380" s="57"/>
      <c r="AJ380" s="31">
        <f t="shared" si="77"/>
        <v>2684699</v>
      </c>
      <c r="AK380" s="59">
        <f>241900*0.3</f>
        <v>72570</v>
      </c>
      <c r="AL380" s="42">
        <v>44228</v>
      </c>
      <c r="AM380" s="34">
        <v>236</v>
      </c>
      <c r="AN380" s="34">
        <f>2753*2550</f>
        <v>7020150</v>
      </c>
      <c r="AO380" s="125">
        <f t="shared" si="87"/>
        <v>637200</v>
      </c>
      <c r="AP380" s="59">
        <v>17878476</v>
      </c>
      <c r="AQ380" s="55">
        <v>31597327810586</v>
      </c>
      <c r="AR380" s="55">
        <v>655981526000</v>
      </c>
      <c r="AS380" s="55">
        <v>236777349000</v>
      </c>
      <c r="AT380" s="55">
        <v>246036281000</v>
      </c>
      <c r="AU380" s="55">
        <v>30792648</v>
      </c>
      <c r="AV380" s="99">
        <v>3264251161.5999999</v>
      </c>
      <c r="AX380" s="74">
        <f t="shared" si="76"/>
        <v>7.7866167188217379E-3</v>
      </c>
    </row>
    <row r="381" spans="1:50" ht="15">
      <c r="A381" s="28">
        <v>44229</v>
      </c>
      <c r="B381" s="56">
        <v>21651455000</v>
      </c>
      <c r="C381" s="56"/>
      <c r="D381" s="56"/>
      <c r="E381" s="56"/>
      <c r="F381" s="30">
        <f t="shared" si="95"/>
        <v>21651455000</v>
      </c>
      <c r="G381" s="118">
        <f t="shared" si="73"/>
        <v>5845893</v>
      </c>
      <c r="H381" s="58">
        <f t="shared" ref="H381:H398" si="97">J381-I381</f>
        <v>11014220000</v>
      </c>
      <c r="I381" s="57"/>
      <c r="J381" s="57">
        <v>11014220000</v>
      </c>
      <c r="K381" s="57"/>
      <c r="L381" s="58">
        <v>10542031000</v>
      </c>
      <c r="M381" s="57">
        <v>3386000000</v>
      </c>
      <c r="N381" s="57">
        <v>13928031000</v>
      </c>
      <c r="O381" s="58">
        <f t="shared" si="96"/>
        <v>5339000</v>
      </c>
      <c r="P381" s="57"/>
      <c r="Q381" s="57">
        <v>5339000</v>
      </c>
      <c r="R381" s="57">
        <v>417738000</v>
      </c>
      <c r="S381" s="58"/>
      <c r="T381" s="58"/>
      <c r="U381" s="58">
        <v>5153000</v>
      </c>
      <c r="V381" s="57"/>
      <c r="W381" s="57">
        <v>5153000</v>
      </c>
      <c r="X381" s="57"/>
      <c r="Y381" s="57"/>
      <c r="Z381" s="57"/>
      <c r="AA381" s="57"/>
      <c r="AB381" s="57"/>
      <c r="AC381" s="57"/>
      <c r="AD381" s="57"/>
      <c r="AE381" s="57"/>
      <c r="AF381" s="57"/>
      <c r="AG381" s="57"/>
      <c r="AH381" s="57"/>
      <c r="AI381" s="57"/>
      <c r="AJ381" s="31">
        <f t="shared" si="77"/>
        <v>3014252</v>
      </c>
      <c r="AK381" s="59">
        <f>1170600*0.3</f>
        <v>351180</v>
      </c>
      <c r="AL381" s="42">
        <v>44229</v>
      </c>
      <c r="AM381" s="34">
        <v>328</v>
      </c>
      <c r="AN381" s="34">
        <f>2627*2550</f>
        <v>6698850</v>
      </c>
      <c r="AO381" s="125">
        <f t="shared" si="87"/>
        <v>885600</v>
      </c>
      <c r="AP381" s="33"/>
      <c r="AQ381" s="55">
        <v>30526719110156</v>
      </c>
      <c r="AR381" s="55">
        <v>163440028800</v>
      </c>
      <c r="AS381" s="55">
        <v>25789266000</v>
      </c>
      <c r="AT381" s="55">
        <v>47440721000</v>
      </c>
      <c r="AU381" s="55">
        <v>16795775</v>
      </c>
      <c r="AV381" s="99">
        <v>3281046936.5999999</v>
      </c>
      <c r="AX381" s="74">
        <f t="shared" si="76"/>
        <v>1.5540720517265428E-3</v>
      </c>
    </row>
    <row r="382" spans="1:50" ht="15">
      <c r="A382" s="28">
        <v>44230</v>
      </c>
      <c r="B382" s="56">
        <f>8507870000+13524570000</f>
        <v>22032440000</v>
      </c>
      <c r="C382" s="56"/>
      <c r="D382" s="56"/>
      <c r="E382" s="56"/>
      <c r="F382" s="30">
        <f t="shared" si="95"/>
        <v>22032440000</v>
      </c>
      <c r="G382" s="118">
        <f t="shared" si="73"/>
        <v>5948759</v>
      </c>
      <c r="H382" s="58">
        <f t="shared" si="97"/>
        <v>9833765000</v>
      </c>
      <c r="I382" s="57">
        <v>16657000000</v>
      </c>
      <c r="J382" s="57">
        <v>26490765000</v>
      </c>
      <c r="K382" s="57"/>
      <c r="L382" s="58">
        <v>1609670000</v>
      </c>
      <c r="M382" s="57"/>
      <c r="N382" s="57">
        <v>1609670000</v>
      </c>
      <c r="O382" s="58">
        <f t="shared" si="96"/>
        <v>5703000</v>
      </c>
      <c r="P382" s="57"/>
      <c r="Q382" s="57">
        <v>5703000</v>
      </c>
      <c r="R382" s="57">
        <v>545347000</v>
      </c>
      <c r="S382" s="58"/>
      <c r="T382" s="58"/>
      <c r="U382" s="58">
        <v>1381000</v>
      </c>
      <c r="V382" s="57"/>
      <c r="W382" s="57">
        <v>1381000</v>
      </c>
      <c r="X382" s="57"/>
      <c r="Y382" s="57"/>
      <c r="Z382" s="57"/>
      <c r="AA382" s="57"/>
      <c r="AB382" s="57"/>
      <c r="AC382" s="57"/>
      <c r="AD382" s="57"/>
      <c r="AE382" s="57"/>
      <c r="AF382" s="57"/>
      <c r="AG382" s="57"/>
      <c r="AH382" s="57"/>
      <c r="AI382" s="57"/>
      <c r="AJ382" s="31">
        <f t="shared" si="77"/>
        <v>4333178</v>
      </c>
      <c r="AK382" s="59">
        <f>184000*0.3</f>
        <v>55200</v>
      </c>
      <c r="AL382" s="42">
        <v>44230</v>
      </c>
      <c r="AM382" s="34">
        <v>344</v>
      </c>
      <c r="AN382" s="34">
        <f>2823*2550</f>
        <v>7198650</v>
      </c>
      <c r="AO382" s="125">
        <f t="shared" si="87"/>
        <v>928800</v>
      </c>
      <c r="AP382" s="33"/>
      <c r="AQ382" s="55">
        <v>37089953899944</v>
      </c>
      <c r="AR382" s="55">
        <v>930512170000</v>
      </c>
      <c r="AS382" s="55">
        <v>62931048000</v>
      </c>
      <c r="AT382" s="55">
        <v>84963488000</v>
      </c>
      <c r="AU382" s="55">
        <v>18464587</v>
      </c>
      <c r="AV382" s="99">
        <v>3299511523.5999999</v>
      </c>
      <c r="AX382" s="74">
        <f t="shared" si="76"/>
        <v>2.2907412672769131E-3</v>
      </c>
    </row>
    <row r="383" spans="1:50" ht="15">
      <c r="A383" s="50">
        <v>44231</v>
      </c>
      <c r="B383" s="118">
        <v>10433385000</v>
      </c>
      <c r="C383" s="118"/>
      <c r="D383" s="118"/>
      <c r="E383" s="118"/>
      <c r="F383" s="30">
        <f t="shared" si="95"/>
        <v>10433385000</v>
      </c>
      <c r="G383" s="118">
        <f t="shared" si="73"/>
        <v>2817014</v>
      </c>
      <c r="H383" s="58">
        <f t="shared" si="97"/>
        <v>10209134000</v>
      </c>
      <c r="I383" s="121">
        <v>86401500000</v>
      </c>
      <c r="J383" s="121">
        <v>96610634000</v>
      </c>
      <c r="K383" s="121"/>
      <c r="L383" s="58">
        <v>7368578000</v>
      </c>
      <c r="M383" s="121"/>
      <c r="N383" s="121">
        <v>7368578000</v>
      </c>
      <c r="O383" s="58">
        <f t="shared" si="96"/>
        <v>2839000</v>
      </c>
      <c r="P383" s="121"/>
      <c r="Q383" s="121">
        <v>2839000</v>
      </c>
      <c r="R383" s="121">
        <v>551206000</v>
      </c>
      <c r="S383" s="122"/>
      <c r="T383" s="122"/>
      <c r="U383" s="58">
        <v>4130000</v>
      </c>
      <c r="V383" s="121"/>
      <c r="W383" s="121">
        <v>4130000</v>
      </c>
      <c r="X383" s="121"/>
      <c r="Y383" s="121"/>
      <c r="Z383" s="121"/>
      <c r="AA383" s="121"/>
      <c r="AB383" s="121"/>
      <c r="AC383" s="121"/>
      <c r="AD383" s="121"/>
      <c r="AE383" s="121"/>
      <c r="AF383" s="121"/>
      <c r="AG383" s="121"/>
      <c r="AH383" s="121"/>
      <c r="AI383" s="121"/>
      <c r="AJ383" s="31">
        <f t="shared" si="77"/>
        <v>17550930</v>
      </c>
      <c r="AK383" s="124">
        <f>1367800*0.3</f>
        <v>410340</v>
      </c>
      <c r="AL383" s="42">
        <v>44231</v>
      </c>
      <c r="AM383" s="54">
        <v>966</v>
      </c>
      <c r="AN383" s="54">
        <f>3293*2550</f>
        <v>8397150</v>
      </c>
      <c r="AO383" s="125">
        <f t="shared" si="87"/>
        <v>2608200</v>
      </c>
      <c r="AP383" s="53"/>
      <c r="AQ383" s="55">
        <v>29120837194290</v>
      </c>
      <c r="AR383" s="55">
        <v>877335518000</v>
      </c>
      <c r="AS383" s="55">
        <v>187803997000</v>
      </c>
      <c r="AT383" s="55">
        <v>198237382000</v>
      </c>
      <c r="AU383" s="55">
        <v>31783634</v>
      </c>
      <c r="AV383" s="99">
        <v>3331295157.5999999</v>
      </c>
      <c r="AX383" s="74">
        <f t="shared" si="76"/>
        <v>6.8074066922385835E-3</v>
      </c>
    </row>
    <row r="384" spans="1:50" ht="15">
      <c r="A384" s="28">
        <v>44232</v>
      </c>
      <c r="B384" s="56">
        <v>5850065000</v>
      </c>
      <c r="C384" s="56"/>
      <c r="D384" s="56"/>
      <c r="E384" s="56"/>
      <c r="F384" s="29">
        <f>SUM(B384:E384)</f>
        <v>5850065000</v>
      </c>
      <c r="G384" s="118">
        <f t="shared" si="73"/>
        <v>1579518</v>
      </c>
      <c r="H384" s="58">
        <f t="shared" si="97"/>
        <v>3886504000</v>
      </c>
      <c r="I384" s="57">
        <v>33987000000</v>
      </c>
      <c r="J384" s="57">
        <v>37873504000</v>
      </c>
      <c r="K384" s="57"/>
      <c r="L384" s="57">
        <v>1841859000</v>
      </c>
      <c r="M384" s="57">
        <v>0</v>
      </c>
      <c r="N384" s="57">
        <v>1841859000</v>
      </c>
      <c r="O384" s="57">
        <f>Q384-P384</f>
        <v>5800000</v>
      </c>
      <c r="P384" s="57">
        <v>0</v>
      </c>
      <c r="Q384" s="57">
        <v>5800000</v>
      </c>
      <c r="R384" s="57">
        <v>507685000</v>
      </c>
      <c r="S384" s="57"/>
      <c r="T384" s="57"/>
      <c r="U384" s="57">
        <v>4219000</v>
      </c>
      <c r="V384" s="57">
        <v>0</v>
      </c>
      <c r="W384" s="57">
        <v>4219000</v>
      </c>
      <c r="X384" s="57"/>
      <c r="Y384" s="57"/>
      <c r="Z384" s="57"/>
      <c r="AA384" s="57"/>
      <c r="AB384" s="57"/>
      <c r="AC384" s="57"/>
      <c r="AD384" s="57"/>
      <c r="AE384" s="57"/>
      <c r="AF384" s="57"/>
      <c r="AG384" s="57"/>
      <c r="AH384" s="57"/>
      <c r="AI384" s="57"/>
      <c r="AJ384" s="31">
        <f t="shared" si="77"/>
        <v>6829092</v>
      </c>
      <c r="AK384" s="59">
        <f>235500*0.3</f>
        <v>70650</v>
      </c>
      <c r="AL384" s="42">
        <v>44232</v>
      </c>
      <c r="AM384" s="60">
        <v>377</v>
      </c>
      <c r="AN384" s="34">
        <f>3556*2550*3</f>
        <v>27203400</v>
      </c>
      <c r="AO384" s="125">
        <f t="shared" si="87"/>
        <v>1017900</v>
      </c>
      <c r="AP384" s="59"/>
      <c r="AQ384" s="55">
        <v>30738601861008</v>
      </c>
      <c r="AR384" s="55">
        <v>637853591200</v>
      </c>
      <c r="AS384" s="55">
        <v>78475291000</v>
      </c>
      <c r="AT384" s="55">
        <v>84325356000</v>
      </c>
      <c r="AU384" s="55">
        <v>36700560</v>
      </c>
      <c r="AV384" s="99">
        <v>3367995717.5999999</v>
      </c>
      <c r="AX384" s="74">
        <f t="shared" si="76"/>
        <v>2.7433048640695314E-3</v>
      </c>
    </row>
    <row r="385" spans="1:50" ht="15">
      <c r="A385" s="28">
        <v>44235</v>
      </c>
      <c r="B385" s="56">
        <v>54182460000</v>
      </c>
      <c r="C385" s="56">
        <v>27056215000</v>
      </c>
      <c r="D385" s="56"/>
      <c r="E385" s="56"/>
      <c r="F385" s="29">
        <f t="shared" ref="F385:F386" si="98">SUM(B385:E385)</f>
        <v>81238675000</v>
      </c>
      <c r="G385" s="118">
        <f t="shared" si="73"/>
        <v>21934442</v>
      </c>
      <c r="H385" s="58">
        <f t="shared" si="97"/>
        <v>11894163000</v>
      </c>
      <c r="I385" s="57">
        <v>29470200000</v>
      </c>
      <c r="J385" s="57">
        <v>41364363000</v>
      </c>
      <c r="K385" s="57"/>
      <c r="L385" s="57">
        <v>12884000</v>
      </c>
      <c r="M385" s="57"/>
      <c r="N385" s="57">
        <v>12884000</v>
      </c>
      <c r="O385" s="57">
        <f t="shared" ref="O385:O386" si="99">Q385-P385</f>
        <v>8543000</v>
      </c>
      <c r="P385" s="57"/>
      <c r="Q385" s="57">
        <v>8543000</v>
      </c>
      <c r="R385" s="57">
        <v>372854000</v>
      </c>
      <c r="S385" s="57"/>
      <c r="T385" s="57"/>
      <c r="U385" s="57">
        <v>276391000</v>
      </c>
      <c r="V385" s="57"/>
      <c r="W385" s="57">
        <v>276391000</v>
      </c>
      <c r="X385" s="57"/>
      <c r="Y385" s="57"/>
      <c r="Z385" s="57"/>
      <c r="AA385" s="57"/>
      <c r="AB385" s="57"/>
      <c r="AC385" s="57"/>
      <c r="AD385" s="57"/>
      <c r="AE385" s="57"/>
      <c r="AF385" s="57"/>
      <c r="AG385" s="57"/>
      <c r="AH385" s="57"/>
      <c r="AI385" s="57"/>
      <c r="AJ385" s="31">
        <f t="shared" si="77"/>
        <v>6708384</v>
      </c>
      <c r="AK385" s="59">
        <f>(968600*0.3)+300000</f>
        <v>590580</v>
      </c>
      <c r="AL385" s="42">
        <v>44235</v>
      </c>
      <c r="AM385" s="60">
        <v>921</v>
      </c>
      <c r="AN385" s="34">
        <f>2861*2550</f>
        <v>7295550</v>
      </c>
      <c r="AO385" s="125">
        <f t="shared" si="87"/>
        <v>2486700</v>
      </c>
      <c r="AP385" s="59"/>
      <c r="AQ385" s="55">
        <v>38469919190038</v>
      </c>
      <c r="AR385" s="55">
        <v>339460000000</v>
      </c>
      <c r="AS385" s="55">
        <v>57643727000</v>
      </c>
      <c r="AT385" s="55">
        <v>138882402000</v>
      </c>
      <c r="AU385" s="55">
        <v>39015656</v>
      </c>
      <c r="AV385" s="99">
        <v>3407011373.5999999</v>
      </c>
      <c r="AX385" s="74">
        <f t="shared" si="76"/>
        <v>3.6101558028737522E-3</v>
      </c>
    </row>
    <row r="386" spans="1:50" ht="15">
      <c r="A386" s="50">
        <v>44236</v>
      </c>
      <c r="B386" s="118">
        <v>8487085000</v>
      </c>
      <c r="C386" s="118">
        <v>23951260000</v>
      </c>
      <c r="D386" s="118"/>
      <c r="E386" s="118"/>
      <c r="F386" s="51">
        <f t="shared" si="98"/>
        <v>32438345000</v>
      </c>
      <c r="G386" s="118">
        <f t="shared" si="73"/>
        <v>8758353</v>
      </c>
      <c r="H386" s="58">
        <f t="shared" si="97"/>
        <v>808844000</v>
      </c>
      <c r="I386" s="121">
        <v>9315000000</v>
      </c>
      <c r="J386" s="121">
        <v>10123844000</v>
      </c>
      <c r="K386" s="121"/>
      <c r="L386" s="121">
        <v>11136000</v>
      </c>
      <c r="M386" s="121">
        <v>26015000000</v>
      </c>
      <c r="N386" s="121">
        <v>26026136000</v>
      </c>
      <c r="O386" s="121">
        <f t="shared" si="99"/>
        <v>2889000</v>
      </c>
      <c r="P386" s="121"/>
      <c r="Q386" s="121">
        <v>2889000</v>
      </c>
      <c r="R386" s="121">
        <v>596557000</v>
      </c>
      <c r="S386" s="121"/>
      <c r="T386" s="121"/>
      <c r="U386" s="121">
        <v>143883000</v>
      </c>
      <c r="V386" s="121"/>
      <c r="W386" s="121">
        <v>143883000</v>
      </c>
      <c r="X386" s="121"/>
      <c r="Y386" s="121"/>
      <c r="Z386" s="121"/>
      <c r="AA386" s="121"/>
      <c r="AB386" s="121"/>
      <c r="AC386" s="121"/>
      <c r="AD386" s="121"/>
      <c r="AE386" s="121"/>
      <c r="AF386" s="121"/>
      <c r="AG386" s="121"/>
      <c r="AH386" s="121"/>
      <c r="AI386" s="121"/>
      <c r="AJ386" s="52">
        <f t="shared" si="77"/>
        <v>6581549</v>
      </c>
      <c r="AK386" s="124">
        <f>526700*0.3</f>
        <v>158010</v>
      </c>
      <c r="AL386" s="127">
        <v>44236</v>
      </c>
      <c r="AM386" s="125">
        <v>472</v>
      </c>
      <c r="AN386" s="54">
        <f>2887*2550*8</f>
        <v>58894800</v>
      </c>
      <c r="AO386" s="125">
        <f t="shared" si="87"/>
        <v>1274400</v>
      </c>
      <c r="AP386" s="124">
        <v>700000</v>
      </c>
      <c r="AQ386" s="55">
        <v>29014863375000</v>
      </c>
      <c r="AR386" s="55">
        <v>247819002000</v>
      </c>
      <c r="AS386" s="55">
        <v>37704461000</v>
      </c>
      <c r="AT386" s="55">
        <v>70142806000</v>
      </c>
      <c r="AU386" s="55">
        <v>76367112</v>
      </c>
      <c r="AV386" s="99">
        <v>3483378485.5999999</v>
      </c>
      <c r="AX386" s="74">
        <f t="shared" si="76"/>
        <v>2.4174784176456596E-3</v>
      </c>
    </row>
    <row r="387" spans="1:50" ht="15">
      <c r="A387" s="50">
        <v>44244</v>
      </c>
      <c r="B387" s="118">
        <v>80525920000</v>
      </c>
      <c r="C387" s="118">
        <v>11893280000</v>
      </c>
      <c r="D387" s="118"/>
      <c r="E387" s="118"/>
      <c r="F387" s="51">
        <f>SUM(B387:E387)</f>
        <v>92419200000</v>
      </c>
      <c r="G387" s="118">
        <f t="shared" si="73"/>
        <v>24953184</v>
      </c>
      <c r="H387" s="58">
        <f t="shared" si="97"/>
        <v>9577223000</v>
      </c>
      <c r="I387" s="121">
        <v>85376000000</v>
      </c>
      <c r="J387" s="121">
        <v>94953223000</v>
      </c>
      <c r="K387" s="121"/>
      <c r="L387" s="121">
        <v>10508076000</v>
      </c>
      <c r="M387" s="121">
        <v>0</v>
      </c>
      <c r="N387" s="121">
        <v>10508076000</v>
      </c>
      <c r="O387" s="121">
        <v>0</v>
      </c>
      <c r="P387" s="121">
        <v>0</v>
      </c>
      <c r="Q387" s="121">
        <v>5951000</v>
      </c>
      <c r="R387" s="121">
        <v>482448000</v>
      </c>
      <c r="S387" s="121"/>
      <c r="T387" s="121"/>
      <c r="U387" s="121">
        <v>5715000</v>
      </c>
      <c r="V387" s="121">
        <v>0</v>
      </c>
      <c r="W387" s="121">
        <v>5715000</v>
      </c>
      <c r="X387" s="121"/>
      <c r="Y387" s="121"/>
      <c r="Z387" s="121"/>
      <c r="AA387" s="121"/>
      <c r="AB387" s="121"/>
      <c r="AC387" s="121"/>
      <c r="AD387" s="121"/>
      <c r="AE387" s="121"/>
      <c r="AF387" s="121"/>
      <c r="AG387" s="121"/>
      <c r="AH387" s="121"/>
      <c r="AI387" s="121"/>
      <c r="AJ387" s="52">
        <f t="shared" si="77"/>
        <v>17624762</v>
      </c>
      <c r="AK387" s="124">
        <f>2437900*0.3</f>
        <v>731370</v>
      </c>
      <c r="AL387" s="54">
        <v>44244</v>
      </c>
      <c r="AM387" s="54">
        <v>2417</v>
      </c>
      <c r="AN387" s="54">
        <f>2716*2550</f>
        <v>6925800</v>
      </c>
      <c r="AO387" s="125">
        <f t="shared" si="87"/>
        <v>6525900</v>
      </c>
      <c r="AP387" s="124">
        <v>700000</v>
      </c>
      <c r="AQ387" s="55">
        <v>32265274527200</v>
      </c>
      <c r="AR387" s="55">
        <v>473842915400</v>
      </c>
      <c r="AS387" s="55">
        <v>190141247000</v>
      </c>
      <c r="AT387" s="55">
        <v>282560447000</v>
      </c>
      <c r="AU387" s="55">
        <v>57461016</v>
      </c>
      <c r="AV387" s="99">
        <v>3540839501.5999999</v>
      </c>
      <c r="AX387" s="74">
        <f t="shared" si="76"/>
        <v>8.7574164838361522E-3</v>
      </c>
    </row>
    <row r="388" spans="1:50" ht="15">
      <c r="A388" s="28">
        <v>44245</v>
      </c>
      <c r="B388" s="56">
        <v>19042465000</v>
      </c>
      <c r="C388" s="56"/>
      <c r="D388" s="56"/>
      <c r="E388" s="56"/>
      <c r="F388" s="51">
        <f>SUM(B388:E388)</f>
        <v>19042465000</v>
      </c>
      <c r="G388" s="118">
        <f t="shared" si="73"/>
        <v>5141466</v>
      </c>
      <c r="H388" s="58">
        <f t="shared" si="97"/>
        <v>381814000</v>
      </c>
      <c r="I388" s="57">
        <v>65188000000</v>
      </c>
      <c r="J388" s="57">
        <v>65569814000</v>
      </c>
      <c r="K388" s="57"/>
      <c r="L388" s="57">
        <v>2017840000</v>
      </c>
      <c r="M388" s="57"/>
      <c r="N388" s="57">
        <v>2017840000</v>
      </c>
      <c r="O388" s="57"/>
      <c r="P388" s="57"/>
      <c r="Q388" s="57">
        <v>7611000</v>
      </c>
      <c r="R388" s="57">
        <v>414142000</v>
      </c>
      <c r="S388" s="57"/>
      <c r="T388" s="57"/>
      <c r="U388" s="57">
        <v>121628000</v>
      </c>
      <c r="V388" s="57"/>
      <c r="W388" s="57">
        <v>121628000</v>
      </c>
      <c r="X388" s="121"/>
      <c r="Y388" s="121"/>
      <c r="Z388" s="121"/>
      <c r="AA388" s="121"/>
      <c r="AB388" s="121"/>
      <c r="AC388" s="121"/>
      <c r="AD388" s="121"/>
      <c r="AE388" s="121"/>
      <c r="AF388" s="121"/>
      <c r="AG388" s="121"/>
      <c r="AH388" s="121"/>
      <c r="AI388" s="121"/>
      <c r="AJ388" s="52">
        <f t="shared" si="77"/>
        <v>12089441</v>
      </c>
      <c r="AK388" s="59">
        <f>382500*0.3</f>
        <v>114750</v>
      </c>
      <c r="AL388" s="54">
        <v>44245</v>
      </c>
      <c r="AM388" s="34">
        <v>1735</v>
      </c>
      <c r="AN388" s="34">
        <f>3187*2550</f>
        <v>8126850</v>
      </c>
      <c r="AO388" s="60">
        <f t="shared" si="87"/>
        <v>4684500</v>
      </c>
      <c r="AP388" s="59"/>
      <c r="AQ388" s="55">
        <v>36559112859158</v>
      </c>
      <c r="AR388" s="55">
        <v>518958892000</v>
      </c>
      <c r="AS388" s="55">
        <v>145440031000</v>
      </c>
      <c r="AT388" s="55">
        <v>164482496000</v>
      </c>
      <c r="AU388" s="55">
        <v>30157007</v>
      </c>
      <c r="AV388" s="99">
        <v>3570996508.5999999</v>
      </c>
      <c r="AX388" s="74">
        <f t="shared" si="76"/>
        <v>4.4990833512197053E-3</v>
      </c>
    </row>
    <row r="389" spans="1:50" ht="15">
      <c r="A389" s="41">
        <v>44246</v>
      </c>
      <c r="B389" s="65">
        <v>26289715000</v>
      </c>
      <c r="C389" s="65">
        <v>11768180000</v>
      </c>
      <c r="D389" s="65"/>
      <c r="E389" s="65"/>
      <c r="F389" s="65">
        <f>SUM(B389:E389)</f>
        <v>38057895000</v>
      </c>
      <c r="G389" s="118">
        <f t="shared" si="73"/>
        <v>10275632</v>
      </c>
      <c r="H389" s="58">
        <f t="shared" si="97"/>
        <v>2811567000</v>
      </c>
      <c r="I389" s="58">
        <v>104822500000</v>
      </c>
      <c r="J389" s="58">
        <v>107634067000</v>
      </c>
      <c r="K389" s="58"/>
      <c r="L389" s="58">
        <v>840318000</v>
      </c>
      <c r="M389" s="58"/>
      <c r="N389" s="58">
        <v>840318000</v>
      </c>
      <c r="O389" s="58">
        <f>Q389-P389</f>
        <v>3070000</v>
      </c>
      <c r="P389" s="58"/>
      <c r="Q389" s="58">
        <v>3070000</v>
      </c>
      <c r="R389" s="58">
        <v>452656000</v>
      </c>
      <c r="S389" s="58"/>
      <c r="T389" s="58"/>
      <c r="U389" s="58">
        <v>4428000</v>
      </c>
      <c r="V389" s="58"/>
      <c r="W389" s="58">
        <v>4428000</v>
      </c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  <c r="AI389" s="58"/>
      <c r="AJ389" s="58">
        <f t="shared" si="77"/>
        <v>19345060</v>
      </c>
      <c r="AK389" s="66">
        <f>694600*0.3</f>
        <v>208380</v>
      </c>
      <c r="AL389" s="42">
        <v>44246</v>
      </c>
      <c r="AM389" s="42">
        <v>780</v>
      </c>
      <c r="AN389" s="42">
        <f>3689*2550*3</f>
        <v>28220850</v>
      </c>
      <c r="AO389" s="125">
        <f>AM389*2700</f>
        <v>2106000</v>
      </c>
      <c r="AP389" s="66">
        <v>700000</v>
      </c>
      <c r="AQ389" s="55">
        <v>34802601684120</v>
      </c>
      <c r="AR389" s="55">
        <v>464934250000</v>
      </c>
      <c r="AS389" s="55">
        <v>206737923000</v>
      </c>
      <c r="AT389" s="55">
        <v>244795818000</v>
      </c>
      <c r="AU389" s="55">
        <v>60855922</v>
      </c>
      <c r="AV389" s="99">
        <v>3631852430.5999999</v>
      </c>
      <c r="AX389" s="74">
        <f t="shared" si="76"/>
        <v>7.0338367292723785E-3</v>
      </c>
    </row>
    <row r="390" spans="1:50" ht="15">
      <c r="A390" s="41">
        <v>44249</v>
      </c>
      <c r="B390" s="56">
        <v>37002980000</v>
      </c>
      <c r="C390" s="56">
        <v>12684125000</v>
      </c>
      <c r="D390" s="56"/>
      <c r="E390" s="56"/>
      <c r="F390" s="65">
        <f t="shared" ref="F390:F393" si="100">SUM(B390:E390)</f>
        <v>49687105000</v>
      </c>
      <c r="G390" s="118">
        <f t="shared" si="73"/>
        <v>13415518</v>
      </c>
      <c r="H390" s="58">
        <f t="shared" si="97"/>
        <v>132732000</v>
      </c>
      <c r="I390" s="57">
        <v>55494000000</v>
      </c>
      <c r="J390" s="57">
        <v>55626732000</v>
      </c>
      <c r="K390" s="57"/>
      <c r="L390" s="58">
        <v>5530187000</v>
      </c>
      <c r="M390" s="57"/>
      <c r="N390" s="57">
        <v>5530187000</v>
      </c>
      <c r="O390" s="58"/>
      <c r="P390" s="57"/>
      <c r="Q390" s="57">
        <v>1558000</v>
      </c>
      <c r="R390" s="57">
        <v>546594000</v>
      </c>
      <c r="S390" s="58"/>
      <c r="T390" s="58"/>
      <c r="U390" s="58">
        <v>4430000</v>
      </c>
      <c r="V390" s="57"/>
      <c r="W390" s="57">
        <v>4430000</v>
      </c>
      <c r="X390" s="58"/>
      <c r="Y390" s="58"/>
      <c r="Z390" s="58"/>
      <c r="AA390" s="58"/>
      <c r="AB390" s="58"/>
      <c r="AC390" s="58"/>
      <c r="AD390" s="58"/>
      <c r="AE390" s="58"/>
      <c r="AF390" s="58"/>
      <c r="AG390" s="58"/>
      <c r="AH390" s="58"/>
      <c r="AI390" s="58"/>
      <c r="AJ390" s="58">
        <f t="shared" ref="AJ390:AJ417" si="101">ROUND(H390*0.0108%+I390*0.018%+K390*0.018%+L390*0.0108%+M390*0.018%+O390*0.0108%+P390*0.018%+R390*0.018%+W390*0.018%,0)</f>
        <v>10699700</v>
      </c>
      <c r="AK390" s="59">
        <f>995500*0.3</f>
        <v>298650</v>
      </c>
      <c r="AL390" s="42">
        <v>44249</v>
      </c>
      <c r="AM390" s="60">
        <v>269</v>
      </c>
      <c r="AN390" s="34">
        <f>3674*2550</f>
        <v>9368700</v>
      </c>
      <c r="AO390" s="60">
        <f>AM390*2700</f>
        <v>726300</v>
      </c>
      <c r="AP390" s="59">
        <v>800000</v>
      </c>
      <c r="AQ390" s="55">
        <v>35584907309392</v>
      </c>
      <c r="AR390" s="55">
        <v>341104872000</v>
      </c>
      <c r="AS390" s="55">
        <v>113789394000</v>
      </c>
      <c r="AT390" s="55">
        <v>163476499000</v>
      </c>
      <c r="AU390" s="55">
        <v>35308868</v>
      </c>
      <c r="AV390" s="99">
        <v>3667161298.5999999</v>
      </c>
      <c r="AX390" s="74">
        <f t="shared" si="76"/>
        <v>4.5939841174422085E-3</v>
      </c>
    </row>
    <row r="391" spans="1:50" ht="15">
      <c r="A391" s="41">
        <v>44250</v>
      </c>
      <c r="B391" s="56">
        <v>66895160000</v>
      </c>
      <c r="C391" s="56">
        <v>29583070000</v>
      </c>
      <c r="D391" s="56"/>
      <c r="E391" s="56"/>
      <c r="F391" s="65">
        <f t="shared" si="100"/>
        <v>96478230000</v>
      </c>
      <c r="G391" s="118">
        <f t="shared" si="73"/>
        <v>26049122</v>
      </c>
      <c r="H391" s="58">
        <f t="shared" si="97"/>
        <v>1138648000</v>
      </c>
      <c r="I391" s="57">
        <v>51603000000</v>
      </c>
      <c r="J391" s="57">
        <v>52741648000</v>
      </c>
      <c r="K391" s="57"/>
      <c r="L391" s="58">
        <v>4712843000</v>
      </c>
      <c r="M391" s="57"/>
      <c r="N391" s="57">
        <v>4712843000</v>
      </c>
      <c r="O391" s="58">
        <f t="shared" ref="O391:O393" si="102">Q391-P391</f>
        <v>3091000</v>
      </c>
      <c r="P391" s="57"/>
      <c r="Q391" s="57">
        <v>3091000</v>
      </c>
      <c r="R391" s="57">
        <v>597341000</v>
      </c>
      <c r="S391" s="58"/>
      <c r="T391" s="58"/>
      <c r="U391" s="58">
        <v>0</v>
      </c>
      <c r="V391" s="57"/>
      <c r="W391" s="57"/>
      <c r="X391" s="121"/>
      <c r="Y391" s="121"/>
      <c r="Z391" s="121"/>
      <c r="AA391" s="121"/>
      <c r="AB391" s="121"/>
      <c r="AC391" s="121"/>
      <c r="AD391" s="121"/>
      <c r="AE391" s="121"/>
      <c r="AF391" s="121"/>
      <c r="AG391" s="121"/>
      <c r="AH391" s="121"/>
      <c r="AI391" s="121"/>
      <c r="AJ391" s="52">
        <f t="shared" si="101"/>
        <v>10028356</v>
      </c>
      <c r="AK391" s="59">
        <f>1494100*0.3</f>
        <v>448230</v>
      </c>
      <c r="AL391" s="127">
        <v>44250</v>
      </c>
      <c r="AM391" s="60">
        <v>609</v>
      </c>
      <c r="AN391" s="34">
        <f>3217*2550</f>
        <v>8203350</v>
      </c>
      <c r="AO391" s="60">
        <f>AM391*2700</f>
        <v>1644300</v>
      </c>
      <c r="AP391" s="59">
        <v>700000</v>
      </c>
      <c r="AQ391" s="55">
        <v>36775590947988</v>
      </c>
      <c r="AR391" s="55">
        <v>205562756000</v>
      </c>
      <c r="AS391" s="55">
        <v>112955740000</v>
      </c>
      <c r="AT391" s="55">
        <v>209433970000</v>
      </c>
      <c r="AU391" s="55">
        <v>47073358</v>
      </c>
      <c r="AV391" s="99">
        <v>3714234656.5999999</v>
      </c>
      <c r="AX391" s="74">
        <f t="shared" si="76"/>
        <v>5.6949178681099666E-3</v>
      </c>
    </row>
    <row r="392" spans="1:50" ht="15">
      <c r="A392" s="41">
        <v>44251</v>
      </c>
      <c r="B392" s="56">
        <v>40471100000</v>
      </c>
      <c r="C392" s="56">
        <v>17133085000</v>
      </c>
      <c r="D392" s="56"/>
      <c r="E392" s="56"/>
      <c r="F392" s="65">
        <f t="shared" si="100"/>
        <v>57604185000</v>
      </c>
      <c r="G392" s="118">
        <f t="shared" si="73"/>
        <v>15553130</v>
      </c>
      <c r="H392" s="58">
        <f t="shared" si="97"/>
        <v>7979052000</v>
      </c>
      <c r="I392" s="57">
        <v>35356100000</v>
      </c>
      <c r="J392" s="57">
        <v>43335152000</v>
      </c>
      <c r="K392" s="57"/>
      <c r="L392" s="58">
        <v>2583819000</v>
      </c>
      <c r="M392" s="57"/>
      <c r="N392" s="57">
        <v>2583819000</v>
      </c>
      <c r="O392" s="58"/>
      <c r="P392" s="57"/>
      <c r="Q392" s="57">
        <v>1553000</v>
      </c>
      <c r="R392" s="57">
        <v>357557000</v>
      </c>
      <c r="S392" s="58"/>
      <c r="T392" s="58"/>
      <c r="U392" s="58">
        <v>585872000</v>
      </c>
      <c r="V392" s="57"/>
      <c r="W392" s="57">
        <v>585872000</v>
      </c>
      <c r="X392" s="121"/>
      <c r="Y392" s="121"/>
      <c r="Z392" s="121"/>
      <c r="AA392" s="121"/>
      <c r="AB392" s="121"/>
      <c r="AC392" s="121"/>
      <c r="AD392" s="121"/>
      <c r="AE392" s="121"/>
      <c r="AF392" s="121"/>
      <c r="AG392" s="121"/>
      <c r="AH392" s="121"/>
      <c r="AI392" s="121"/>
      <c r="AJ392" s="52">
        <f t="shared" si="101"/>
        <v>7674705</v>
      </c>
      <c r="AK392" s="59">
        <f>1656400*0.3</f>
        <v>496920</v>
      </c>
      <c r="AL392" s="54">
        <v>44251</v>
      </c>
      <c r="AM392" s="60">
        <v>573</v>
      </c>
      <c r="AN392" s="34">
        <f>(2776+20)*2550</f>
        <v>7129800</v>
      </c>
      <c r="AO392" s="60">
        <f>AM392*2700</f>
        <v>1547100</v>
      </c>
      <c r="AP392" s="59">
        <v>700000</v>
      </c>
      <c r="AQ392" s="55">
        <v>37265706604600</v>
      </c>
      <c r="AR392" s="55">
        <v>196306577200</v>
      </c>
      <c r="AS392" s="55">
        <v>76978878000</v>
      </c>
      <c r="AT392" s="55">
        <v>134583063000</v>
      </c>
      <c r="AU392" s="55">
        <v>33101655</v>
      </c>
      <c r="AV392" s="99">
        <v>3747336311.5999999</v>
      </c>
      <c r="AX392" s="74">
        <f t="shared" si="76"/>
        <v>3.6114453545176397E-3</v>
      </c>
    </row>
    <row r="393" spans="1:50" ht="15">
      <c r="A393" s="72">
        <v>44252</v>
      </c>
      <c r="B393" s="118">
        <v>17645555000</v>
      </c>
      <c r="C393" s="118">
        <v>16012105000</v>
      </c>
      <c r="D393" s="118"/>
      <c r="E393" s="118"/>
      <c r="F393" s="120">
        <f t="shared" si="100"/>
        <v>33657660000</v>
      </c>
      <c r="G393" s="118">
        <f t="shared" si="73"/>
        <v>9087568</v>
      </c>
      <c r="H393" s="58">
        <f t="shared" si="97"/>
        <v>2368734000</v>
      </c>
      <c r="I393" s="57"/>
      <c r="J393" s="121">
        <v>2368734000</v>
      </c>
      <c r="K393" s="121"/>
      <c r="L393" s="58">
        <v>425227000</v>
      </c>
      <c r="M393" s="121"/>
      <c r="N393" s="121">
        <v>425227000</v>
      </c>
      <c r="O393" s="58">
        <f t="shared" si="102"/>
        <v>3029000</v>
      </c>
      <c r="P393" s="121"/>
      <c r="Q393" s="121">
        <v>3029000</v>
      </c>
      <c r="R393" s="121">
        <v>695597000</v>
      </c>
      <c r="S393" s="122"/>
      <c r="T393" s="122"/>
      <c r="U393" s="58">
        <v>1451000</v>
      </c>
      <c r="V393" s="121"/>
      <c r="W393" s="121">
        <v>1451000</v>
      </c>
      <c r="X393" s="121"/>
      <c r="Y393" s="121"/>
      <c r="Z393" s="121"/>
      <c r="AA393" s="121"/>
      <c r="AB393" s="121"/>
      <c r="AC393" s="121"/>
      <c r="AD393" s="121"/>
      <c r="AE393" s="121"/>
      <c r="AF393" s="121"/>
      <c r="AG393" s="121"/>
      <c r="AH393" s="121"/>
      <c r="AI393" s="121"/>
      <c r="AJ393" s="52">
        <f t="shared" si="101"/>
        <v>427544</v>
      </c>
      <c r="AK393" s="59">
        <f>500900*0.3</f>
        <v>150270</v>
      </c>
      <c r="AL393" s="34">
        <v>44252</v>
      </c>
      <c r="AM393" s="60">
        <v>294</v>
      </c>
      <c r="AN393" s="34">
        <f>2592*2550</f>
        <v>6609600</v>
      </c>
      <c r="AO393" s="60">
        <f t="shared" ref="AO393:AO398" si="103">AM393*2700</f>
        <v>793800</v>
      </c>
      <c r="AP393" s="59"/>
      <c r="AQ393" s="55">
        <v>32260054716400</v>
      </c>
      <c r="AR393" s="55">
        <v>69141118000</v>
      </c>
      <c r="AS393" s="55">
        <v>4351764000</v>
      </c>
      <c r="AT393" s="55">
        <v>38009424000</v>
      </c>
      <c r="AU393" s="55">
        <v>17068782</v>
      </c>
      <c r="AV393" s="99">
        <v>3764405093.5999999</v>
      </c>
      <c r="AX393" s="74">
        <f t="shared" si="76"/>
        <v>1.1782194523271283E-3</v>
      </c>
    </row>
    <row r="394" spans="1:50" ht="15">
      <c r="A394" s="41">
        <v>44253</v>
      </c>
      <c r="B394" s="65">
        <f>87652769000+12968880000</f>
        <v>100621649000</v>
      </c>
      <c r="C394" s="65">
        <v>16604920000</v>
      </c>
      <c r="D394" s="65"/>
      <c r="E394" s="65"/>
      <c r="F394" s="65">
        <f>SUM(B394:E394)</f>
        <v>117226569000</v>
      </c>
      <c r="G394" s="65">
        <f t="shared" si="73"/>
        <v>31651174</v>
      </c>
      <c r="H394" s="58">
        <f t="shared" si="97"/>
        <v>2819200000</v>
      </c>
      <c r="I394" s="58">
        <v>25258500000</v>
      </c>
      <c r="J394" s="58">
        <v>28077700000</v>
      </c>
      <c r="K394" s="58"/>
      <c r="L394" s="58">
        <v>238372000</v>
      </c>
      <c r="M394" s="58"/>
      <c r="N394" s="58">
        <v>238372000</v>
      </c>
      <c r="O394" s="58"/>
      <c r="P394" s="58"/>
      <c r="Q394" s="58">
        <v>4590000</v>
      </c>
      <c r="R394" s="58">
        <v>461800000</v>
      </c>
      <c r="S394" s="58"/>
      <c r="T394" s="58"/>
      <c r="U394" s="58">
        <v>7245000</v>
      </c>
      <c r="V394" s="58"/>
      <c r="W394" s="58">
        <v>7245000</v>
      </c>
      <c r="X394" s="122"/>
      <c r="Y394" s="122"/>
      <c r="Z394" s="122"/>
      <c r="AA394" s="122"/>
      <c r="AB394" s="122"/>
      <c r="AC394" s="122"/>
      <c r="AD394" s="122"/>
      <c r="AE394" s="122"/>
      <c r="AF394" s="122"/>
      <c r="AG394" s="122"/>
      <c r="AH394" s="122"/>
      <c r="AI394" s="122"/>
      <c r="AJ394" s="52">
        <f t="shared" si="101"/>
        <v>4961176</v>
      </c>
      <c r="AK394" s="59">
        <f>(1718600+171000)*0.3</f>
        <v>566880</v>
      </c>
      <c r="AL394" s="34">
        <v>44253</v>
      </c>
      <c r="AM394" s="60">
        <v>890</v>
      </c>
      <c r="AN394" s="34">
        <f>2032*2550*3</f>
        <v>15544800</v>
      </c>
      <c r="AO394" s="60">
        <f t="shared" si="103"/>
        <v>2403000</v>
      </c>
      <c r="AP394" s="59">
        <f>1600000</f>
        <v>1600000</v>
      </c>
      <c r="AQ394" s="55">
        <v>36196829098792</v>
      </c>
      <c r="AR394" s="55">
        <v>85949229000</v>
      </c>
      <c r="AS394" s="55">
        <v>55314900000</v>
      </c>
      <c r="AT394" s="55">
        <v>172541469000</v>
      </c>
      <c r="AU394" s="55">
        <v>56727030</v>
      </c>
      <c r="AV394" s="99">
        <v>3821132123.5999999</v>
      </c>
      <c r="AX394" s="74">
        <f t="shared" si="76"/>
        <v>4.7667564617078087E-3</v>
      </c>
    </row>
    <row r="395" spans="1:50" ht="15">
      <c r="A395" s="41">
        <v>44256</v>
      </c>
      <c r="B395" s="56">
        <v>2545530000</v>
      </c>
      <c r="C395" s="56"/>
      <c r="D395" s="56"/>
      <c r="E395" s="56"/>
      <c r="F395" s="65">
        <f>SUM(B395:E395)</f>
        <v>2545530000</v>
      </c>
      <c r="G395" s="65">
        <f t="shared" si="73"/>
        <v>687293</v>
      </c>
      <c r="H395" s="58">
        <f t="shared" si="97"/>
        <v>2057877000</v>
      </c>
      <c r="I395" s="57">
        <v>0</v>
      </c>
      <c r="J395" s="57">
        <v>2057877000</v>
      </c>
      <c r="K395" s="57"/>
      <c r="L395" s="58">
        <f t="shared" ref="L395:L398" si="104">N395-M395</f>
        <v>3978000</v>
      </c>
      <c r="M395" s="57"/>
      <c r="N395" s="57">
        <v>3978000</v>
      </c>
      <c r="O395" s="58">
        <f t="shared" ref="O395:O398" si="105">Q395-P395</f>
        <v>4660000</v>
      </c>
      <c r="P395" s="57"/>
      <c r="Q395" s="57">
        <v>4660000</v>
      </c>
      <c r="R395" s="57">
        <v>519099000</v>
      </c>
      <c r="S395" s="58"/>
      <c r="T395" s="58"/>
      <c r="U395" s="58">
        <f t="shared" ref="U395:U398" si="106">W395-V395</f>
        <v>300593000</v>
      </c>
      <c r="V395" s="57"/>
      <c r="W395" s="57">
        <v>300593000</v>
      </c>
      <c r="X395" s="121"/>
      <c r="Y395" s="121"/>
      <c r="Z395" s="121"/>
      <c r="AA395" s="121"/>
      <c r="AB395" s="121"/>
      <c r="AC395" s="121"/>
      <c r="AD395" s="121"/>
      <c r="AE395" s="121"/>
      <c r="AF395" s="121"/>
      <c r="AG395" s="121"/>
      <c r="AH395" s="121"/>
      <c r="AI395" s="121"/>
      <c r="AJ395" s="52">
        <f t="shared" si="101"/>
        <v>370728</v>
      </c>
      <c r="AK395" s="59">
        <f>135500*0.3</f>
        <v>40650</v>
      </c>
      <c r="AL395" s="34">
        <v>44256</v>
      </c>
      <c r="AM395" s="60">
        <v>91</v>
      </c>
      <c r="AN395" s="34">
        <f>2089*2550</f>
        <v>5326950</v>
      </c>
      <c r="AO395" s="60">
        <f t="shared" si="103"/>
        <v>245700</v>
      </c>
      <c r="AP395" s="59">
        <f>500000+600000</f>
        <v>1100000</v>
      </c>
      <c r="AQ395" s="55">
        <v>39633860188600</v>
      </c>
      <c r="AR395" s="55">
        <v>51529720000</v>
      </c>
      <c r="AS395" s="55">
        <v>3663406000</v>
      </c>
      <c r="AT395" s="55">
        <v>6208936000</v>
      </c>
      <c r="AU395" s="55">
        <v>7771321</v>
      </c>
      <c r="AV395" s="99">
        <v>3828903444.5999999</v>
      </c>
      <c r="AX395" s="74">
        <f t="shared" si="76"/>
        <v>1.5665736242834842E-4</v>
      </c>
    </row>
    <row r="396" spans="1:50" ht="15">
      <c r="A396" s="41">
        <v>44257</v>
      </c>
      <c r="B396" s="56">
        <v>79051875000</v>
      </c>
      <c r="C396" s="56">
        <v>8458015000</v>
      </c>
      <c r="D396" s="56"/>
      <c r="E396" s="56"/>
      <c r="F396" s="65">
        <f t="shared" ref="F396:F398" si="107">SUM(B396:E396)</f>
        <v>87509890000</v>
      </c>
      <c r="G396" s="65">
        <f t="shared" si="73"/>
        <v>23627670</v>
      </c>
      <c r="H396" s="58">
        <f t="shared" si="97"/>
        <v>2143809000</v>
      </c>
      <c r="I396" s="57">
        <v>36210000000</v>
      </c>
      <c r="J396" s="57">
        <v>38353809000</v>
      </c>
      <c r="K396" s="57"/>
      <c r="L396" s="58">
        <f t="shared" si="104"/>
        <v>1198940000</v>
      </c>
      <c r="M396" s="57"/>
      <c r="N396" s="57">
        <v>1198940000</v>
      </c>
      <c r="O396" s="58">
        <f t="shared" si="105"/>
        <v>4792000</v>
      </c>
      <c r="P396" s="57"/>
      <c r="Q396" s="57">
        <v>4792000</v>
      </c>
      <c r="R396" s="57">
        <v>666157000</v>
      </c>
      <c r="S396" s="58"/>
      <c r="T396" s="58"/>
      <c r="U396" s="58">
        <f t="shared" si="106"/>
        <v>732494000</v>
      </c>
      <c r="V396" s="57"/>
      <c r="W396" s="57">
        <v>732494000</v>
      </c>
      <c r="X396" s="121"/>
      <c r="Y396" s="121"/>
      <c r="Z396" s="121"/>
      <c r="AA396" s="121"/>
      <c r="AB396" s="121"/>
      <c r="AC396" s="121"/>
      <c r="AD396" s="121"/>
      <c r="AE396" s="121"/>
      <c r="AF396" s="121"/>
      <c r="AG396" s="121"/>
      <c r="AH396" s="121"/>
      <c r="AI396" s="121"/>
      <c r="AJ396" s="52">
        <f t="shared" si="101"/>
        <v>7131092</v>
      </c>
      <c r="AK396" s="59">
        <f>((562500+69600)*0.3)</f>
        <v>189630</v>
      </c>
      <c r="AL396" s="34">
        <v>44257</v>
      </c>
      <c r="AM396" s="60">
        <v>312</v>
      </c>
      <c r="AN396" s="34">
        <f>2103*2550</f>
        <v>5362650</v>
      </c>
      <c r="AO396" s="60">
        <f t="shared" si="103"/>
        <v>842400</v>
      </c>
      <c r="AP396" s="59">
        <v>700000</v>
      </c>
      <c r="AQ396" s="55">
        <v>37347621288044</v>
      </c>
      <c r="AR396" s="55">
        <v>175404976000</v>
      </c>
      <c r="AS396" s="55">
        <v>77634852000</v>
      </c>
      <c r="AT396" s="55">
        <v>165144742000</v>
      </c>
      <c r="AU396" s="55">
        <v>37853442</v>
      </c>
      <c r="AV396" s="99">
        <v>3866756886.5999999</v>
      </c>
      <c r="AX396" s="74">
        <f t="shared" si="76"/>
        <v>4.421827583778873E-3</v>
      </c>
    </row>
    <row r="397" spans="1:50" ht="15">
      <c r="A397" s="41">
        <v>44258</v>
      </c>
      <c r="B397" s="56">
        <v>26889280000</v>
      </c>
      <c r="C397" s="56">
        <v>7804065000</v>
      </c>
      <c r="D397" s="56"/>
      <c r="E397" s="56"/>
      <c r="F397" s="65">
        <f t="shared" si="107"/>
        <v>34693345000</v>
      </c>
      <c r="G397" s="65">
        <f t="shared" si="73"/>
        <v>9367203</v>
      </c>
      <c r="H397" s="58">
        <f t="shared" si="97"/>
        <v>6401051000</v>
      </c>
      <c r="I397" s="57">
        <v>84113000000</v>
      </c>
      <c r="J397" s="57">
        <v>90514051000</v>
      </c>
      <c r="K397" s="57"/>
      <c r="L397" s="58">
        <f t="shared" si="104"/>
        <v>1546990000</v>
      </c>
      <c r="M397" s="57"/>
      <c r="N397" s="57">
        <v>1546990000</v>
      </c>
      <c r="O397" s="57">
        <f t="shared" si="105"/>
        <v>0</v>
      </c>
      <c r="P397" s="57">
        <v>0</v>
      </c>
      <c r="Q397" s="57">
        <v>0</v>
      </c>
      <c r="R397" s="57">
        <v>513854000</v>
      </c>
      <c r="S397" s="58"/>
      <c r="T397" s="58"/>
      <c r="U397" s="58">
        <f t="shared" si="106"/>
        <v>2986000</v>
      </c>
      <c r="V397" s="57"/>
      <c r="W397" s="57">
        <v>2986000</v>
      </c>
      <c r="X397" s="121"/>
      <c r="Y397" s="121"/>
      <c r="Z397" s="121"/>
      <c r="AA397" s="121"/>
      <c r="AB397" s="121"/>
      <c r="AC397" s="121"/>
      <c r="AD397" s="121"/>
      <c r="AE397" s="121"/>
      <c r="AF397" s="121"/>
      <c r="AG397" s="121"/>
      <c r="AH397" s="121"/>
      <c r="AI397" s="121"/>
      <c r="AJ397" s="52">
        <f t="shared" si="101"/>
        <v>16091760</v>
      </c>
      <c r="AK397" s="59">
        <f>776400*0.3</f>
        <v>232920</v>
      </c>
      <c r="AL397" s="34">
        <v>44258</v>
      </c>
      <c r="AM397" s="60">
        <v>550</v>
      </c>
      <c r="AN397" s="34">
        <f>2467*2550</f>
        <v>6290850</v>
      </c>
      <c r="AO397" s="60">
        <f t="shared" si="103"/>
        <v>1485000</v>
      </c>
      <c r="AP397" s="59">
        <v>600000</v>
      </c>
      <c r="AQ397" s="55">
        <v>36650082888468</v>
      </c>
      <c r="AR397" s="55">
        <v>263642038000</v>
      </c>
      <c r="AS397" s="55">
        <v>177240101000</v>
      </c>
      <c r="AT397" s="55">
        <v>211933446000</v>
      </c>
      <c r="AU397" s="55">
        <v>34067733</v>
      </c>
      <c r="AV397" s="99">
        <v>3900824619.5999999</v>
      </c>
      <c r="AX397" s="74">
        <f t="shared" si="76"/>
        <v>5.7826184635092637E-3</v>
      </c>
    </row>
    <row r="398" spans="1:50" ht="15">
      <c r="A398" s="72">
        <v>44259</v>
      </c>
      <c r="B398" s="118">
        <v>24237125000</v>
      </c>
      <c r="C398" s="118">
        <v>8539860000</v>
      </c>
      <c r="D398" s="118"/>
      <c r="E398" s="118"/>
      <c r="F398" s="65">
        <f t="shared" si="107"/>
        <v>32776985000</v>
      </c>
      <c r="G398" s="65">
        <f>ROUND(F398*0.027%,0)</f>
        <v>8849786</v>
      </c>
      <c r="H398" s="122">
        <f t="shared" si="97"/>
        <v>2233619000</v>
      </c>
      <c r="I398" s="121">
        <v>71262000000</v>
      </c>
      <c r="J398" s="121">
        <v>73495619000</v>
      </c>
      <c r="K398" s="121"/>
      <c r="L398" s="122">
        <f t="shared" si="104"/>
        <v>3154686000</v>
      </c>
      <c r="M398" s="121"/>
      <c r="N398" s="121">
        <v>3154686000</v>
      </c>
      <c r="O398" s="57">
        <f t="shared" si="105"/>
        <v>4656000</v>
      </c>
      <c r="P398" s="121"/>
      <c r="Q398" s="121">
        <v>4656000</v>
      </c>
      <c r="R398" s="121">
        <v>190145000</v>
      </c>
      <c r="S398" s="122"/>
      <c r="T398" s="122"/>
      <c r="U398" s="122">
        <f t="shared" si="106"/>
        <v>11793000</v>
      </c>
      <c r="V398" s="121"/>
      <c r="W398" s="121">
        <v>11793000</v>
      </c>
      <c r="X398" s="121"/>
      <c r="Y398" s="121"/>
      <c r="Z398" s="121"/>
      <c r="AA398" s="121"/>
      <c r="AB398" s="121"/>
      <c r="AC398" s="121"/>
      <c r="AD398" s="121"/>
      <c r="AE398" s="121"/>
      <c r="AF398" s="121"/>
      <c r="AG398" s="121"/>
      <c r="AH398" s="121"/>
      <c r="AI398" s="121"/>
      <c r="AJ398" s="52">
        <f t="shared" si="101"/>
        <v>13445949</v>
      </c>
      <c r="AK398" s="124">
        <f>565000*0.3</f>
        <v>169500</v>
      </c>
      <c r="AL398" s="34">
        <v>44259</v>
      </c>
      <c r="AM398" s="125">
        <v>819</v>
      </c>
      <c r="AN398" s="54">
        <f>2790*2550</f>
        <v>7114500</v>
      </c>
      <c r="AO398" s="60">
        <f t="shared" si="103"/>
        <v>2211300</v>
      </c>
      <c r="AP398" s="124">
        <v>600000</v>
      </c>
      <c r="AQ398" s="55">
        <v>42761377800542</v>
      </c>
      <c r="AR398" s="55">
        <v>293316306000</v>
      </c>
      <c r="AS398" s="55">
        <v>148273499000</v>
      </c>
      <c r="AT398" s="55">
        <v>181050484000</v>
      </c>
      <c r="AU398" s="55">
        <v>32391035</v>
      </c>
      <c r="AV398" s="99">
        <v>3933215654.5999999</v>
      </c>
      <c r="AX398" s="74">
        <f t="shared" si="76"/>
        <v>4.2339721803282306E-3</v>
      </c>
    </row>
    <row r="399" spans="1:50" ht="15">
      <c r="A399" s="72">
        <v>44260</v>
      </c>
      <c r="B399" s="65">
        <f>22004890000+58450000000</f>
        <v>80454890000</v>
      </c>
      <c r="C399" s="65">
        <v>8470000000</v>
      </c>
      <c r="D399" s="65"/>
      <c r="E399" s="65"/>
      <c r="F399" s="65">
        <f>SUM(B399:E399)</f>
        <v>88924890000</v>
      </c>
      <c r="G399" s="65">
        <f t="shared" si="73"/>
        <v>24009720</v>
      </c>
      <c r="H399" s="58">
        <f>J399-I399</f>
        <v>615784000</v>
      </c>
      <c r="I399" s="58">
        <v>100057000000</v>
      </c>
      <c r="J399" s="58">
        <v>100672784000</v>
      </c>
      <c r="K399" s="58"/>
      <c r="L399" s="58">
        <f>N399-M399</f>
        <v>13673000</v>
      </c>
      <c r="M399" s="58">
        <v>0</v>
      </c>
      <c r="N399" s="58">
        <v>13673000</v>
      </c>
      <c r="O399" s="58">
        <f>Q399-P399</f>
        <v>4605000</v>
      </c>
      <c r="P399" s="58"/>
      <c r="Q399" s="58">
        <v>4605000</v>
      </c>
      <c r="R399" s="58">
        <v>473728000</v>
      </c>
      <c r="S399" s="58"/>
      <c r="T399" s="58"/>
      <c r="U399" s="58">
        <f t="shared" ref="U399:U450" si="108">W399-V399</f>
        <v>2906000</v>
      </c>
      <c r="V399" s="58">
        <v>0</v>
      </c>
      <c r="W399" s="58">
        <v>2906000</v>
      </c>
      <c r="X399" s="122"/>
      <c r="Y399" s="122"/>
      <c r="Z399" s="122"/>
      <c r="AA399" s="122"/>
      <c r="AB399" s="122"/>
      <c r="AC399" s="122"/>
      <c r="AD399" s="122"/>
      <c r="AE399" s="122"/>
      <c r="AF399" s="122"/>
      <c r="AG399" s="122"/>
      <c r="AH399" s="122"/>
      <c r="AI399" s="122"/>
      <c r="AJ399" s="123">
        <f t="shared" si="101"/>
        <v>18164533</v>
      </c>
      <c r="AK399" s="66">
        <f>(470700*0.3)+300000</f>
        <v>441210</v>
      </c>
      <c r="AL399" s="34">
        <v>44260</v>
      </c>
      <c r="AM399" s="116">
        <v>854</v>
      </c>
      <c r="AN399" s="42">
        <f>3346*2550*3</f>
        <v>25596900</v>
      </c>
      <c r="AO399" s="60">
        <f t="shared" ref="AO399:AO450" si="109">AM399*2700</f>
        <v>2305800</v>
      </c>
      <c r="AP399" s="66">
        <v>700000</v>
      </c>
      <c r="AQ399" s="55">
        <v>37758558271856</v>
      </c>
      <c r="AR399" s="55">
        <v>277622198000</v>
      </c>
      <c r="AS399" s="55">
        <v>195804110000</v>
      </c>
      <c r="AT399" s="55">
        <v>284729000000</v>
      </c>
      <c r="AU399" s="55">
        <v>71218163</v>
      </c>
      <c r="AV399" s="99">
        <v>4004433817.5999999</v>
      </c>
      <c r="AX399" s="74">
        <f t="shared" si="76"/>
        <v>7.5407805019988734E-3</v>
      </c>
    </row>
    <row r="400" spans="1:50" ht="15">
      <c r="A400" s="28">
        <v>44263</v>
      </c>
      <c r="B400" s="56">
        <v>55964045000</v>
      </c>
      <c r="C400" s="56">
        <v>22453555000</v>
      </c>
      <c r="D400" s="56"/>
      <c r="E400" s="56"/>
      <c r="F400" s="65">
        <f>SUM(B400:E400)</f>
        <v>78417600000</v>
      </c>
      <c r="G400" s="65">
        <f t="shared" si="73"/>
        <v>21172752</v>
      </c>
      <c r="H400" s="58">
        <f>J400-I400</f>
        <v>915698000</v>
      </c>
      <c r="I400" s="57">
        <v>64765400000</v>
      </c>
      <c r="J400" s="57">
        <v>65681098000</v>
      </c>
      <c r="K400" s="57"/>
      <c r="L400" s="58">
        <f t="shared" ref="L400:L403" si="110">N400-M400</f>
        <v>3936529000</v>
      </c>
      <c r="M400" s="57"/>
      <c r="N400" s="57">
        <v>3936529000</v>
      </c>
      <c r="O400" s="58">
        <f t="shared" ref="O400:O403" si="111">Q400-P400</f>
        <v>299764000</v>
      </c>
      <c r="P400" s="57"/>
      <c r="Q400" s="57">
        <v>299764000</v>
      </c>
      <c r="R400" s="57">
        <v>479323000</v>
      </c>
      <c r="S400" s="58"/>
      <c r="T400" s="58"/>
      <c r="U400" s="58">
        <f t="shared" si="108"/>
        <v>2934000</v>
      </c>
      <c r="V400" s="57"/>
      <c r="W400" s="57">
        <v>2934000</v>
      </c>
      <c r="X400" s="121"/>
      <c r="Y400" s="121"/>
      <c r="Z400" s="121"/>
      <c r="AA400" s="121"/>
      <c r="AB400" s="121"/>
      <c r="AC400" s="121"/>
      <c r="AD400" s="121"/>
      <c r="AE400" s="121"/>
      <c r="AF400" s="121"/>
      <c r="AG400" s="121"/>
      <c r="AH400" s="121"/>
      <c r="AI400" s="121"/>
      <c r="AJ400" s="52">
        <f t="shared" si="101"/>
        <v>12300993</v>
      </c>
      <c r="AK400" s="59">
        <f>1316800*0.3</f>
        <v>395040</v>
      </c>
      <c r="AL400" s="34">
        <v>44263</v>
      </c>
      <c r="AM400" s="60">
        <v>914</v>
      </c>
      <c r="AN400" s="34">
        <f>3216*2550</f>
        <v>8200800</v>
      </c>
      <c r="AO400" s="60">
        <f t="shared" si="109"/>
        <v>2467800</v>
      </c>
      <c r="AP400" s="59">
        <v>600000</v>
      </c>
      <c r="AQ400" s="55">
        <v>38129263232130</v>
      </c>
      <c r="AR400" s="55">
        <v>264221564000</v>
      </c>
      <c r="AS400" s="55">
        <v>135755691000</v>
      </c>
      <c r="AT400" s="55">
        <v>214173291000</v>
      </c>
      <c r="AU400" s="55">
        <v>45137385</v>
      </c>
      <c r="AV400" s="99">
        <v>4049571202.5999999</v>
      </c>
      <c r="AX400" s="74">
        <f t="shared" si="76"/>
        <v>5.6170319813450987E-3</v>
      </c>
    </row>
    <row r="401" spans="1:50" ht="15">
      <c r="A401" s="28">
        <v>44264</v>
      </c>
      <c r="B401" s="56">
        <v>53162885000</v>
      </c>
      <c r="C401" s="56">
        <v>22616855000</v>
      </c>
      <c r="D401" s="128"/>
      <c r="E401" s="56"/>
      <c r="F401" s="65">
        <f>SUM(B401:E401)</f>
        <v>75779740000</v>
      </c>
      <c r="G401" s="65">
        <f t="shared" si="73"/>
        <v>20460530</v>
      </c>
      <c r="H401" s="58">
        <f t="shared" ref="H401:H403" si="112">J401-I401</f>
        <v>448627000</v>
      </c>
      <c r="I401" s="57">
        <v>85510000000</v>
      </c>
      <c r="J401" s="57">
        <v>85958627000</v>
      </c>
      <c r="K401" s="57"/>
      <c r="L401" s="58">
        <f t="shared" si="110"/>
        <v>461527000</v>
      </c>
      <c r="M401" s="57"/>
      <c r="N401" s="57">
        <v>461527000</v>
      </c>
      <c r="O401" s="58">
        <f t="shared" si="111"/>
        <v>0</v>
      </c>
      <c r="P401" s="57"/>
      <c r="Q401" s="57">
        <v>0</v>
      </c>
      <c r="R401" s="57">
        <v>448050000</v>
      </c>
      <c r="S401" s="57"/>
      <c r="T401" s="57"/>
      <c r="U401" s="57">
        <f t="shared" si="108"/>
        <v>7209000</v>
      </c>
      <c r="V401" s="57">
        <v>540888000</v>
      </c>
      <c r="W401" s="57">
        <v>548097000</v>
      </c>
      <c r="X401" s="121"/>
      <c r="Y401" s="121"/>
      <c r="Z401" s="121"/>
      <c r="AA401" s="121"/>
      <c r="AB401" s="121"/>
      <c r="AC401" s="121"/>
      <c r="AD401" s="121"/>
      <c r="AE401" s="121"/>
      <c r="AF401" s="121"/>
      <c r="AG401" s="121"/>
      <c r="AH401" s="121"/>
      <c r="AI401" s="121"/>
      <c r="AJ401" s="52">
        <f t="shared" si="101"/>
        <v>15669403</v>
      </c>
      <c r="AK401" s="59">
        <f>1030800*0.3</f>
        <v>309240</v>
      </c>
      <c r="AL401" s="34">
        <v>44264</v>
      </c>
      <c r="AM401" s="60">
        <v>761</v>
      </c>
      <c r="AN401" s="34">
        <f>3455*2550</f>
        <v>8810250</v>
      </c>
      <c r="AO401" s="60">
        <f t="shared" si="109"/>
        <v>2054700</v>
      </c>
      <c r="AP401" s="59">
        <v>600000</v>
      </c>
      <c r="AQ401" s="55">
        <v>37508651810748</v>
      </c>
      <c r="AR401" s="55">
        <v>371873199800</v>
      </c>
      <c r="AS401" s="55">
        <v>173938499000</v>
      </c>
      <c r="AT401" s="55">
        <v>249718239000</v>
      </c>
      <c r="AU401" s="55">
        <v>47904123</v>
      </c>
      <c r="AV401" s="99">
        <v>4097475325.5999999</v>
      </c>
      <c r="AX401" s="74">
        <f t="shared" si="76"/>
        <v>6.6576170281983831E-3</v>
      </c>
    </row>
    <row r="402" spans="1:50" ht="15">
      <c r="A402" s="28">
        <v>44265</v>
      </c>
      <c r="B402" s="56">
        <v>83495775000</v>
      </c>
      <c r="C402" s="56">
        <v>29313400000</v>
      </c>
      <c r="D402" s="56"/>
      <c r="E402" s="56"/>
      <c r="F402" s="65">
        <f t="shared" ref="F402:F403" si="113">SUM(B402:E402)</f>
        <v>112809175000</v>
      </c>
      <c r="G402" s="65">
        <f t="shared" si="73"/>
        <v>30458477</v>
      </c>
      <c r="H402" s="58">
        <f t="shared" si="112"/>
        <v>295696000</v>
      </c>
      <c r="I402" s="57">
        <v>0</v>
      </c>
      <c r="J402" s="57">
        <v>295696000</v>
      </c>
      <c r="K402" s="57"/>
      <c r="L402" s="58">
        <f t="shared" si="110"/>
        <v>1444044000</v>
      </c>
      <c r="M402" s="57"/>
      <c r="N402" s="57">
        <v>1444044000</v>
      </c>
      <c r="O402" s="58">
        <f t="shared" si="111"/>
        <v>7516000</v>
      </c>
      <c r="P402" s="57"/>
      <c r="Q402" s="57">
        <v>7516000</v>
      </c>
      <c r="R402" s="57">
        <v>453425000</v>
      </c>
      <c r="S402" s="57"/>
      <c r="T402" s="57"/>
      <c r="U402" s="57">
        <f t="shared" si="108"/>
        <v>14480000</v>
      </c>
      <c r="V402" s="57"/>
      <c r="W402" s="57">
        <v>14480000</v>
      </c>
      <c r="X402" s="121"/>
      <c r="Y402" s="121"/>
      <c r="Z402" s="121"/>
      <c r="AA402" s="121"/>
      <c r="AB402" s="121"/>
      <c r="AC402" s="121"/>
      <c r="AD402" s="121"/>
      <c r="AE402" s="121"/>
      <c r="AF402" s="121"/>
      <c r="AG402" s="121"/>
      <c r="AH402" s="121"/>
      <c r="AI402" s="121"/>
      <c r="AJ402" s="52">
        <f t="shared" si="101"/>
        <v>272927</v>
      </c>
      <c r="AK402" s="59">
        <f>1969700*0.3</f>
        <v>590910</v>
      </c>
      <c r="AL402" s="34">
        <v>44265</v>
      </c>
      <c r="AM402" s="60">
        <v>939</v>
      </c>
      <c r="AN402" s="34">
        <f>2572*2550</f>
        <v>6558600</v>
      </c>
      <c r="AO402" s="60">
        <f t="shared" si="109"/>
        <v>2535300</v>
      </c>
      <c r="AP402" s="59">
        <v>700000</v>
      </c>
      <c r="AQ402" s="55">
        <v>42762626888768</v>
      </c>
      <c r="AR402" s="55">
        <v>57822010000</v>
      </c>
      <c r="AS402" s="55">
        <v>2690433000</v>
      </c>
      <c r="AT402" s="55">
        <v>115499608000</v>
      </c>
      <c r="AU402" s="55">
        <v>41116214</v>
      </c>
      <c r="AV402" s="99">
        <v>4138591539.5999999</v>
      </c>
      <c r="AX402" s="74">
        <f t="shared" si="76"/>
        <v>2.7009474488186094E-3</v>
      </c>
    </row>
    <row r="403" spans="1:50" ht="15">
      <c r="A403" s="50">
        <v>44266</v>
      </c>
      <c r="B403" s="118">
        <v>27312335000</v>
      </c>
      <c r="C403" s="118">
        <v>15782835000</v>
      </c>
      <c r="D403" s="118"/>
      <c r="E403" s="118"/>
      <c r="F403" s="65">
        <f t="shared" si="113"/>
        <v>43095170000</v>
      </c>
      <c r="G403" s="65">
        <f t="shared" si="73"/>
        <v>11635696</v>
      </c>
      <c r="H403" s="58">
        <f t="shared" si="112"/>
        <v>6193296000</v>
      </c>
      <c r="I403" s="121">
        <f>1990500000+7970000000</f>
        <v>9960500000</v>
      </c>
      <c r="J403" s="121">
        <v>16153796000</v>
      </c>
      <c r="K403" s="121"/>
      <c r="L403" s="122">
        <f t="shared" si="110"/>
        <v>1430508000</v>
      </c>
      <c r="M403" s="121">
        <v>7940000000</v>
      </c>
      <c r="N403" s="121">
        <v>9370508000</v>
      </c>
      <c r="O403" s="122">
        <f t="shared" si="111"/>
        <v>372120000</v>
      </c>
      <c r="P403" s="121"/>
      <c r="Q403" s="121">
        <v>372120000</v>
      </c>
      <c r="R403" s="121">
        <v>488223000</v>
      </c>
      <c r="S403" s="121"/>
      <c r="T403" s="121"/>
      <c r="U403" s="57">
        <f t="shared" si="108"/>
        <v>17738000</v>
      </c>
      <c r="V403" s="121">
        <v>2955200000</v>
      </c>
      <c r="W403" s="121">
        <v>2972938000</v>
      </c>
      <c r="X403" s="121"/>
      <c r="Y403" s="121"/>
      <c r="Z403" s="121"/>
      <c r="AA403" s="121"/>
      <c r="AB403" s="121"/>
      <c r="AC403" s="121"/>
      <c r="AD403" s="121"/>
      <c r="AE403" s="121"/>
      <c r="AF403" s="121"/>
      <c r="AG403" s="121"/>
      <c r="AH403" s="121"/>
      <c r="AI403" s="121"/>
      <c r="AJ403" s="52">
        <f t="shared" si="101"/>
        <v>4708659</v>
      </c>
      <c r="AK403" s="124">
        <f>828200*0.3</f>
        <v>248460</v>
      </c>
      <c r="AL403" s="34">
        <v>44266</v>
      </c>
      <c r="AM403" s="125">
        <v>394</v>
      </c>
      <c r="AN403" s="54">
        <f>2286*2550</f>
        <v>5829300</v>
      </c>
      <c r="AO403" s="125">
        <f t="shared" si="109"/>
        <v>1063800</v>
      </c>
      <c r="AP403" s="124">
        <v>600000</v>
      </c>
      <c r="AQ403" s="55">
        <v>37567852764668</v>
      </c>
      <c r="AR403" s="55">
        <v>317959380000</v>
      </c>
      <c r="AS403" s="55">
        <v>42750612000</v>
      </c>
      <c r="AT403" s="55">
        <v>85845782000</v>
      </c>
      <c r="AU403" s="55">
        <v>24085915</v>
      </c>
      <c r="AV403" s="99">
        <v>4162677454.5999999</v>
      </c>
      <c r="AX403" s="74">
        <f t="shared" si="76"/>
        <v>2.2850862022313042E-3</v>
      </c>
    </row>
    <row r="404" spans="1:50" ht="15">
      <c r="A404" s="50">
        <v>44267</v>
      </c>
      <c r="B404" s="65">
        <v>56368790000</v>
      </c>
      <c r="C404" s="65">
        <v>24045755000</v>
      </c>
      <c r="D404" s="65"/>
      <c r="E404" s="65"/>
      <c r="F404" s="65">
        <f t="shared" ref="F404:F408" si="114">SUM(B404:E404)</f>
        <v>80414545000</v>
      </c>
      <c r="G404" s="65">
        <f t="shared" si="73"/>
        <v>21711927</v>
      </c>
      <c r="H404" s="58">
        <f t="shared" ref="H404:H445" si="115">J404-I404</f>
        <v>791328000</v>
      </c>
      <c r="I404" s="58">
        <v>11967600000</v>
      </c>
      <c r="J404" s="58">
        <v>12758928000</v>
      </c>
      <c r="K404" s="58"/>
      <c r="L404" s="58">
        <f t="shared" ref="L404:L450" si="116">N404-M404</f>
        <v>2146100000</v>
      </c>
      <c r="M404" s="58"/>
      <c r="N404" s="58">
        <v>2146100000</v>
      </c>
      <c r="O404" s="58">
        <f t="shared" ref="O404:O450" si="117">Q404-P404</f>
        <v>23850000</v>
      </c>
      <c r="P404" s="58"/>
      <c r="Q404" s="58">
        <v>23850000</v>
      </c>
      <c r="R404" s="58">
        <v>531354000</v>
      </c>
      <c r="S404" s="58"/>
      <c r="T404" s="58"/>
      <c r="U404" s="57">
        <f t="shared" si="108"/>
        <v>492161000</v>
      </c>
      <c r="V404" s="58"/>
      <c r="W404" s="58">
        <v>492161000</v>
      </c>
      <c r="X404" s="122"/>
      <c r="Y404" s="122"/>
      <c r="Z404" s="122"/>
      <c r="AA404" s="122"/>
      <c r="AB404" s="122"/>
      <c r="AC404" s="122"/>
      <c r="AD404" s="122"/>
      <c r="AE404" s="122"/>
      <c r="AF404" s="122"/>
      <c r="AG404" s="122"/>
      <c r="AH404" s="122"/>
      <c r="AI404" s="122"/>
      <c r="AJ404" s="123">
        <f t="shared" si="101"/>
        <v>2658219</v>
      </c>
      <c r="AK404" s="66">
        <f>(1111500+154000)*0.3</f>
        <v>379650</v>
      </c>
      <c r="AL404" s="34">
        <v>44267</v>
      </c>
      <c r="AM404" s="116">
        <v>689</v>
      </c>
      <c r="AN404" s="42">
        <f>1779*2550*3</f>
        <v>13609350</v>
      </c>
      <c r="AO404" s="116">
        <f t="shared" si="109"/>
        <v>1860300</v>
      </c>
      <c r="AP404" s="66">
        <v>700000</v>
      </c>
      <c r="AQ404" s="55">
        <v>36105992905518</v>
      </c>
      <c r="AR404" s="55">
        <v>99933933000</v>
      </c>
      <c r="AS404" s="55">
        <v>28580765000</v>
      </c>
      <c r="AT404" s="55">
        <v>108995310000</v>
      </c>
      <c r="AU404" s="55">
        <v>40919446</v>
      </c>
      <c r="AV404" s="99">
        <v>4203596900.5999999</v>
      </c>
      <c r="AX404" s="74">
        <f t="shared" si="76"/>
        <v>3.0187595251906915E-3</v>
      </c>
    </row>
    <row r="405" spans="1:50" ht="15">
      <c r="A405" s="28">
        <v>44270</v>
      </c>
      <c r="B405" s="56">
        <f>8470000000+28003920000</f>
        <v>36473920000</v>
      </c>
      <c r="C405" s="56"/>
      <c r="D405" s="56"/>
      <c r="E405" s="56"/>
      <c r="F405" s="65">
        <f t="shared" si="114"/>
        <v>36473920000</v>
      </c>
      <c r="G405" s="65">
        <f t="shared" si="73"/>
        <v>9847958</v>
      </c>
      <c r="H405" s="58">
        <f t="shared" si="115"/>
        <v>6524936000</v>
      </c>
      <c r="I405" s="57">
        <v>63881500000</v>
      </c>
      <c r="J405" s="57">
        <v>70406436000</v>
      </c>
      <c r="K405" s="57"/>
      <c r="L405" s="58">
        <f t="shared" si="116"/>
        <v>9994013000</v>
      </c>
      <c r="M405" s="57"/>
      <c r="N405" s="57">
        <v>9994013000</v>
      </c>
      <c r="O405" s="58">
        <f t="shared" si="117"/>
        <v>126880000</v>
      </c>
      <c r="P405" s="57"/>
      <c r="Q405" s="57">
        <v>126880000</v>
      </c>
      <c r="R405" s="57">
        <v>778698000</v>
      </c>
      <c r="S405" s="57"/>
      <c r="T405" s="57"/>
      <c r="U405" s="57">
        <f t="shared" si="108"/>
        <v>1720573000</v>
      </c>
      <c r="V405" s="57"/>
      <c r="W405" s="57">
        <v>1720573000</v>
      </c>
      <c r="X405" s="121"/>
      <c r="Y405" s="121"/>
      <c r="Z405" s="121"/>
      <c r="AA405" s="121"/>
      <c r="AB405" s="121"/>
      <c r="AC405" s="121"/>
      <c r="AD405" s="121"/>
      <c r="AE405" s="121"/>
      <c r="AF405" s="121"/>
      <c r="AG405" s="121"/>
      <c r="AH405" s="121"/>
      <c r="AI405" s="121"/>
      <c r="AJ405" s="52">
        <f t="shared" si="101"/>
        <v>13746288</v>
      </c>
      <c r="AK405" s="59">
        <f>1396100*0.3</f>
        <v>418830</v>
      </c>
      <c r="AL405" s="34">
        <v>44270</v>
      </c>
      <c r="AM405" s="60">
        <v>786</v>
      </c>
      <c r="AN405" s="34">
        <f>2007*2550</f>
        <v>5117850</v>
      </c>
      <c r="AO405" s="60">
        <f t="shared" si="109"/>
        <v>2122200</v>
      </c>
      <c r="AP405" s="59"/>
      <c r="AQ405" s="55">
        <v>36497035784420</v>
      </c>
      <c r="AR405" s="55">
        <v>271280124000</v>
      </c>
      <c r="AS405" s="55">
        <v>147909053000</v>
      </c>
      <c r="AT405" s="55">
        <v>184382973000</v>
      </c>
      <c r="AU405" s="55">
        <v>31253126</v>
      </c>
      <c r="AV405" s="99">
        <v>4234850026.5999999</v>
      </c>
      <c r="AX405" s="74">
        <f t="shared" si="76"/>
        <v>5.0519985811754648E-3</v>
      </c>
    </row>
    <row r="406" spans="1:50" ht="15">
      <c r="A406" s="28">
        <v>44271</v>
      </c>
      <c r="B406" s="56">
        <v>8439815000</v>
      </c>
      <c r="C406" s="56"/>
      <c r="D406" s="56"/>
      <c r="E406" s="56"/>
      <c r="F406" s="65">
        <f t="shared" si="114"/>
        <v>8439815000</v>
      </c>
      <c r="G406" s="65">
        <f t="shared" si="73"/>
        <v>2278750</v>
      </c>
      <c r="H406" s="58">
        <f t="shared" si="115"/>
        <v>0</v>
      </c>
      <c r="I406" s="57">
        <v>35911000000</v>
      </c>
      <c r="J406" s="57">
        <v>35911000000</v>
      </c>
      <c r="K406" s="57"/>
      <c r="L406" s="58">
        <f t="shared" si="116"/>
        <v>3296500000</v>
      </c>
      <c r="M406" s="57"/>
      <c r="N406" s="57">
        <v>3296500000</v>
      </c>
      <c r="O406" s="58">
        <f t="shared" si="117"/>
        <v>7884000</v>
      </c>
      <c r="P406" s="57"/>
      <c r="Q406" s="57">
        <v>7884000</v>
      </c>
      <c r="R406" s="57">
        <v>287613000</v>
      </c>
      <c r="S406" s="57"/>
      <c r="T406" s="57"/>
      <c r="U406" s="57">
        <f t="shared" si="108"/>
        <v>2954000</v>
      </c>
      <c r="V406" s="57"/>
      <c r="W406" s="57">
        <v>2954000</v>
      </c>
      <c r="X406" s="121"/>
      <c r="Y406" s="121"/>
      <c r="Z406" s="121"/>
      <c r="AA406" s="121"/>
      <c r="AB406" s="121"/>
      <c r="AC406" s="121"/>
      <c r="AD406" s="121"/>
      <c r="AE406" s="121"/>
      <c r="AF406" s="121"/>
      <c r="AG406" s="121"/>
      <c r="AH406" s="121"/>
      <c r="AI406" s="121"/>
      <c r="AJ406" s="52">
        <f t="shared" si="101"/>
        <v>6873156</v>
      </c>
      <c r="AK406" s="59">
        <f>340600*0.3</f>
        <v>102180</v>
      </c>
      <c r="AL406" s="34">
        <v>44271</v>
      </c>
      <c r="AM406" s="60">
        <v>1522</v>
      </c>
      <c r="AN406" s="34">
        <f>2207*2550</f>
        <v>5627850</v>
      </c>
      <c r="AO406" s="60">
        <f t="shared" si="109"/>
        <v>4109400</v>
      </c>
      <c r="AP406" s="59">
        <v>41571750</v>
      </c>
      <c r="AQ406" s="55">
        <v>39276652879656</v>
      </c>
      <c r="AR406" s="55">
        <v>533164308000</v>
      </c>
      <c r="AS406" s="55">
        <v>57925260000</v>
      </c>
      <c r="AT406" s="55">
        <v>66365075000</v>
      </c>
      <c r="AU406" s="55">
        <v>60563086</v>
      </c>
      <c r="AV406" s="99">
        <v>4295413112.6000004</v>
      </c>
      <c r="AX406" s="74">
        <f t="shared" si="76"/>
        <v>1.6896825501740984E-3</v>
      </c>
    </row>
    <row r="407" spans="1:50" ht="15">
      <c r="A407" s="28">
        <v>44272</v>
      </c>
      <c r="B407" s="56">
        <v>28962690000</v>
      </c>
      <c r="C407" s="56">
        <v>11278265000</v>
      </c>
      <c r="D407" s="56"/>
      <c r="E407" s="56"/>
      <c r="F407" s="65">
        <f t="shared" si="114"/>
        <v>40240955000</v>
      </c>
      <c r="G407" s="65">
        <f t="shared" si="73"/>
        <v>10865058</v>
      </c>
      <c r="H407" s="58">
        <f t="shared" si="115"/>
        <v>4069675000</v>
      </c>
      <c r="I407" s="57">
        <v>15952000000</v>
      </c>
      <c r="J407" s="57">
        <v>20021675000</v>
      </c>
      <c r="K407" s="57"/>
      <c r="L407" s="58">
        <f t="shared" si="116"/>
        <v>1329240000</v>
      </c>
      <c r="M407" s="57"/>
      <c r="N407" s="57">
        <v>1329240000</v>
      </c>
      <c r="O407" s="58">
        <f t="shared" si="117"/>
        <v>6351000</v>
      </c>
      <c r="P407" s="57"/>
      <c r="Q407" s="57">
        <v>6351000</v>
      </c>
      <c r="R407" s="57">
        <v>956350000</v>
      </c>
      <c r="S407" s="57"/>
      <c r="T407" s="57"/>
      <c r="U407" s="57">
        <f t="shared" si="108"/>
        <v>5918000</v>
      </c>
      <c r="V407" s="57"/>
      <c r="W407" s="57">
        <v>5918000</v>
      </c>
      <c r="X407" s="121"/>
      <c r="Y407" s="121"/>
      <c r="Z407" s="121"/>
      <c r="AA407" s="121"/>
      <c r="AB407" s="121"/>
      <c r="AC407" s="121"/>
      <c r="AD407" s="121"/>
      <c r="AE407" s="121"/>
      <c r="AF407" s="121"/>
      <c r="AG407" s="121"/>
      <c r="AH407" s="121"/>
      <c r="AI407" s="121"/>
      <c r="AJ407" s="52">
        <f t="shared" si="101"/>
        <v>3628337</v>
      </c>
      <c r="AK407" s="59">
        <f>836800*0.3</f>
        <v>251040</v>
      </c>
      <c r="AL407" s="34">
        <v>44272</v>
      </c>
      <c r="AM407" s="60">
        <v>1141</v>
      </c>
      <c r="AN407" s="34">
        <f>1968*2550</f>
        <v>5018400</v>
      </c>
      <c r="AO407" s="60">
        <f t="shared" si="109"/>
        <v>3080700</v>
      </c>
      <c r="AP407" s="59">
        <v>700000</v>
      </c>
      <c r="AQ407" s="55">
        <v>39910042522578</v>
      </c>
      <c r="AR407" s="55">
        <v>209166374000</v>
      </c>
      <c r="AS407" s="55">
        <v>41109070000</v>
      </c>
      <c r="AT407" s="55">
        <v>81350025000</v>
      </c>
      <c r="AU407" s="55">
        <v>23543535</v>
      </c>
      <c r="AV407" s="99">
        <v>4318956647.6000004</v>
      </c>
      <c r="AX407" s="74">
        <f t="shared" si="76"/>
        <v>2.0383347112190742E-3</v>
      </c>
    </row>
    <row r="408" spans="1:50" ht="15">
      <c r="A408" s="50">
        <v>44273</v>
      </c>
      <c r="B408" s="118">
        <v>8470000000</v>
      </c>
      <c r="C408" s="118"/>
      <c r="D408" s="118"/>
      <c r="E408" s="118"/>
      <c r="F408" s="65">
        <f t="shared" si="114"/>
        <v>8470000000</v>
      </c>
      <c r="G408" s="65">
        <f t="shared" si="73"/>
        <v>2286900</v>
      </c>
      <c r="H408" s="122">
        <f t="shared" si="115"/>
        <v>0</v>
      </c>
      <c r="I408" s="121">
        <v>284480000000</v>
      </c>
      <c r="J408" s="121">
        <v>284480000000</v>
      </c>
      <c r="K408" s="121"/>
      <c r="L408" s="122">
        <f t="shared" si="116"/>
        <v>2029000</v>
      </c>
      <c r="M408" s="121"/>
      <c r="N408" s="121">
        <v>2029000</v>
      </c>
      <c r="O408" s="122">
        <f t="shared" si="117"/>
        <v>1631000</v>
      </c>
      <c r="P408" s="121"/>
      <c r="Q408" s="121">
        <v>1631000</v>
      </c>
      <c r="R408" s="121">
        <f>233400000+247327000</f>
        <v>480727000</v>
      </c>
      <c r="S408" s="121"/>
      <c r="T408" s="121"/>
      <c r="U408" s="121">
        <f t="shared" si="108"/>
        <v>1503000</v>
      </c>
      <c r="V408" s="121"/>
      <c r="W408" s="121">
        <v>1503000</v>
      </c>
      <c r="X408" s="121"/>
      <c r="Y408" s="121"/>
      <c r="Z408" s="121"/>
      <c r="AA408" s="121"/>
      <c r="AB408" s="121"/>
      <c r="AC408" s="121"/>
      <c r="AD408" s="121"/>
      <c r="AE408" s="121"/>
      <c r="AF408" s="121"/>
      <c r="AG408" s="121"/>
      <c r="AH408" s="121"/>
      <c r="AI408" s="121"/>
      <c r="AJ408" s="52">
        <f t="shared" si="101"/>
        <v>51293597</v>
      </c>
      <c r="AK408" s="124">
        <f>(15000+100000)*0.3</f>
        <v>34500</v>
      </c>
      <c r="AL408" s="34">
        <v>44273</v>
      </c>
      <c r="AM408" s="125">
        <v>5314</v>
      </c>
      <c r="AN408" s="54">
        <f>(4050+1256)*2550</f>
        <v>13530300</v>
      </c>
      <c r="AO408" s="125">
        <f t="shared" si="109"/>
        <v>14347800</v>
      </c>
      <c r="AP408" s="124">
        <v>1600000</v>
      </c>
      <c r="AQ408" s="55">
        <v>38144868722708</v>
      </c>
      <c r="AR408" s="55">
        <v>731649335000</v>
      </c>
      <c r="AS408" s="55">
        <v>570620379000</v>
      </c>
      <c r="AT408" s="55">
        <v>579090379000</v>
      </c>
      <c r="AU408" s="55">
        <v>83093097</v>
      </c>
      <c r="AV408" s="99">
        <v>4402049744.6000004</v>
      </c>
      <c r="AX408" s="74">
        <f t="shared" si="76"/>
        <v>1.5181344133326695E-2</v>
      </c>
    </row>
    <row r="409" spans="1:50" ht="15">
      <c r="A409" s="41">
        <v>44274</v>
      </c>
      <c r="B409" s="65">
        <v>73866025000</v>
      </c>
      <c r="C409" s="65">
        <v>27477815000</v>
      </c>
      <c r="D409" s="65"/>
      <c r="E409" s="65"/>
      <c r="F409" s="65">
        <f t="shared" ref="F409:F417" si="118">SUM(B409:E409)</f>
        <v>101343840000</v>
      </c>
      <c r="G409" s="65">
        <f t="shared" si="73"/>
        <v>27362837</v>
      </c>
      <c r="H409" s="58">
        <f t="shared" si="115"/>
        <v>2021000</v>
      </c>
      <c r="I409" s="58">
        <v>62782000000</v>
      </c>
      <c r="J409" s="58">
        <v>62784021000</v>
      </c>
      <c r="K409" s="58"/>
      <c r="L409" s="58">
        <f t="shared" si="116"/>
        <v>40760000</v>
      </c>
      <c r="M409" s="58"/>
      <c r="N409" s="58">
        <v>40760000</v>
      </c>
      <c r="O409" s="58">
        <f t="shared" si="117"/>
        <v>1638000</v>
      </c>
      <c r="P409" s="58"/>
      <c r="Q409" s="58">
        <v>1638000</v>
      </c>
      <c r="R409" s="58">
        <v>570041000</v>
      </c>
      <c r="S409" s="58"/>
      <c r="T409" s="58"/>
      <c r="U409" s="57">
        <f t="shared" si="108"/>
        <v>605989000</v>
      </c>
      <c r="V409" s="58"/>
      <c r="W409" s="58">
        <v>605989000</v>
      </c>
      <c r="X409" s="122"/>
      <c r="Y409" s="122"/>
      <c r="Z409" s="122"/>
      <c r="AA409" s="122"/>
      <c r="AB409" s="122"/>
      <c r="AC409" s="122"/>
      <c r="AD409" s="122"/>
      <c r="AE409" s="122"/>
      <c r="AF409" s="122"/>
      <c r="AG409" s="122"/>
      <c r="AH409" s="122"/>
      <c r="AI409" s="122"/>
      <c r="AJ409" s="123">
        <f t="shared" si="101"/>
        <v>11517243</v>
      </c>
      <c r="AK409" s="66">
        <f>(1397800+100000)*0.3</f>
        <v>449340</v>
      </c>
      <c r="AL409" s="34">
        <v>44274</v>
      </c>
      <c r="AM409" s="116">
        <v>614</v>
      </c>
      <c r="AN409" s="42">
        <f>3638*2550*3</f>
        <v>27830700</v>
      </c>
      <c r="AO409" s="60">
        <f t="shared" si="109"/>
        <v>1657800</v>
      </c>
      <c r="AP409" s="66">
        <v>700000</v>
      </c>
      <c r="AQ409" s="55">
        <v>42697814936984</v>
      </c>
      <c r="AR409" s="55">
        <v>210737426000</v>
      </c>
      <c r="AS409" s="55">
        <v>127291209000</v>
      </c>
      <c r="AT409" s="55">
        <v>228635049000</v>
      </c>
      <c r="AU409" s="55">
        <v>69517920</v>
      </c>
      <c r="AV409" s="99">
        <v>4471567664.6000004</v>
      </c>
      <c r="AX409" s="74">
        <f t="shared" si="76"/>
        <v>5.3547248105654428E-3</v>
      </c>
    </row>
    <row r="410" spans="1:50" ht="15">
      <c r="A410" s="28">
        <v>44277</v>
      </c>
      <c r="B410" s="56">
        <v>15585810000</v>
      </c>
      <c r="C410" s="56">
        <v>6465205000</v>
      </c>
      <c r="D410" s="56"/>
      <c r="E410" s="56"/>
      <c r="F410" s="65">
        <f t="shared" si="118"/>
        <v>22051015000</v>
      </c>
      <c r="G410" s="65">
        <f t="shared" si="73"/>
        <v>5953774</v>
      </c>
      <c r="H410" s="58">
        <f t="shared" si="115"/>
        <v>0</v>
      </c>
      <c r="I410" s="57">
        <v>26347500000</v>
      </c>
      <c r="J410" s="57">
        <v>26347500000</v>
      </c>
      <c r="K410" s="57"/>
      <c r="L410" s="58">
        <f t="shared" si="116"/>
        <v>0</v>
      </c>
      <c r="M410" s="57"/>
      <c r="N410" s="57">
        <v>0</v>
      </c>
      <c r="O410" s="58">
        <f t="shared" si="117"/>
        <v>8130000</v>
      </c>
      <c r="P410" s="57"/>
      <c r="Q410" s="57">
        <v>8130000</v>
      </c>
      <c r="R410" s="57">
        <v>468069000</v>
      </c>
      <c r="S410" s="57"/>
      <c r="T410" s="57"/>
      <c r="U410" s="57">
        <f t="shared" si="108"/>
        <v>16498000</v>
      </c>
      <c r="V410" s="57"/>
      <c r="W410" s="57">
        <v>16498000</v>
      </c>
      <c r="X410" s="121"/>
      <c r="Y410" s="121"/>
      <c r="Z410" s="121"/>
      <c r="AA410" s="121"/>
      <c r="AB410" s="121"/>
      <c r="AC410" s="121"/>
      <c r="AD410" s="121"/>
      <c r="AE410" s="121"/>
      <c r="AF410" s="121"/>
      <c r="AG410" s="121"/>
      <c r="AH410" s="121"/>
      <c r="AI410" s="121"/>
      <c r="AJ410" s="52">
        <f t="shared" si="101"/>
        <v>4830650</v>
      </c>
      <c r="AK410" s="59">
        <f>(207600*0.3)+300000</f>
        <v>362280</v>
      </c>
      <c r="AL410" s="34">
        <v>44277</v>
      </c>
      <c r="AM410" s="60">
        <v>184</v>
      </c>
      <c r="AN410" s="34">
        <f>3482*2550</f>
        <v>8879100</v>
      </c>
      <c r="AO410" s="60">
        <f t="shared" si="109"/>
        <v>496800</v>
      </c>
      <c r="AP410" s="59">
        <v>1200000</v>
      </c>
      <c r="AQ410" s="55">
        <v>39205232081862</v>
      </c>
      <c r="AR410" s="55">
        <v>85767122000</v>
      </c>
      <c r="AS410" s="55">
        <v>27306697000</v>
      </c>
      <c r="AT410" s="55">
        <v>49357712000</v>
      </c>
      <c r="AU410" s="55">
        <v>21722604</v>
      </c>
      <c r="AV410" s="99">
        <v>4493290268.6000004</v>
      </c>
      <c r="AX410" s="74">
        <f t="shared" si="76"/>
        <v>1.258957271237146E-3</v>
      </c>
    </row>
    <row r="411" spans="1:50" ht="15">
      <c r="A411" s="28">
        <v>44278</v>
      </c>
      <c r="B411" s="56">
        <v>130550450000</v>
      </c>
      <c r="C411" s="56">
        <v>60056570000</v>
      </c>
      <c r="D411" s="56"/>
      <c r="E411" s="56"/>
      <c r="F411" s="65">
        <f t="shared" si="118"/>
        <v>190607020000</v>
      </c>
      <c r="G411" s="65">
        <f t="shared" si="73"/>
        <v>51463895</v>
      </c>
      <c r="H411" s="58">
        <f t="shared" si="115"/>
        <v>3979549000</v>
      </c>
      <c r="I411" s="57">
        <v>10001000000</v>
      </c>
      <c r="J411" s="57">
        <v>13980549000</v>
      </c>
      <c r="K411" s="57"/>
      <c r="L411" s="58">
        <f t="shared" si="116"/>
        <v>2027000</v>
      </c>
      <c r="M411" s="57"/>
      <c r="N411" s="57">
        <v>2027000</v>
      </c>
      <c r="O411" s="58">
        <f t="shared" si="117"/>
        <v>3196000</v>
      </c>
      <c r="P411" s="57"/>
      <c r="Q411" s="57">
        <v>3196000</v>
      </c>
      <c r="R411" s="57">
        <v>443005000</v>
      </c>
      <c r="S411" s="57"/>
      <c r="T411" s="57"/>
      <c r="U411" s="57">
        <f t="shared" si="108"/>
        <v>1489000</v>
      </c>
      <c r="V411" s="57"/>
      <c r="W411" s="57">
        <v>1489000</v>
      </c>
      <c r="X411" s="121"/>
      <c r="Y411" s="121"/>
      <c r="Z411" s="121"/>
      <c r="AA411" s="121"/>
      <c r="AB411" s="121"/>
      <c r="AC411" s="121"/>
      <c r="AD411" s="121"/>
      <c r="AE411" s="121"/>
      <c r="AF411" s="121"/>
      <c r="AG411" s="121"/>
      <c r="AH411" s="121"/>
      <c r="AI411" s="121"/>
      <c r="AJ411" s="52">
        <f t="shared" si="101"/>
        <v>2310544</v>
      </c>
      <c r="AK411" s="59">
        <f>2982800*0.3</f>
        <v>894840</v>
      </c>
      <c r="AL411" s="34">
        <v>44278</v>
      </c>
      <c r="AM411" s="60">
        <v>1593</v>
      </c>
      <c r="AN411" s="34">
        <f>2099*2550</f>
        <v>5352450</v>
      </c>
      <c r="AO411" s="60">
        <f t="shared" si="109"/>
        <v>4301100</v>
      </c>
      <c r="AP411" s="59">
        <v>700000</v>
      </c>
      <c r="AQ411" s="55">
        <v>38726315509652</v>
      </c>
      <c r="AR411" s="55">
        <v>149993916000</v>
      </c>
      <c r="AS411" s="55">
        <v>14856066000</v>
      </c>
      <c r="AT411" s="55">
        <v>205463086000</v>
      </c>
      <c r="AU411" s="55">
        <v>65022829</v>
      </c>
      <c r="AV411" s="99">
        <v>4558313097.6000004</v>
      </c>
      <c r="AX411" s="74">
        <f t="shared" si="76"/>
        <v>5.3055159856039277E-3</v>
      </c>
    </row>
    <row r="412" spans="1:50" ht="15">
      <c r="A412" s="28">
        <v>44279</v>
      </c>
      <c r="B412" s="56">
        <v>47449165000</v>
      </c>
      <c r="C412" s="56">
        <v>13164315000</v>
      </c>
      <c r="D412" s="56"/>
      <c r="E412" s="56"/>
      <c r="F412" s="65">
        <f t="shared" si="118"/>
        <v>60613480000</v>
      </c>
      <c r="G412" s="65">
        <f t="shared" si="73"/>
        <v>16365640</v>
      </c>
      <c r="H412" s="58">
        <f t="shared" si="115"/>
        <v>2123913000</v>
      </c>
      <c r="I412" s="57">
        <v>19594000000</v>
      </c>
      <c r="J412" s="57">
        <v>21717913000</v>
      </c>
      <c r="K412" s="57"/>
      <c r="L412" s="58">
        <f t="shared" si="116"/>
        <v>0</v>
      </c>
      <c r="M412" s="57"/>
      <c r="N412" s="57">
        <v>0</v>
      </c>
      <c r="O412" s="58">
        <f t="shared" si="117"/>
        <v>11055000</v>
      </c>
      <c r="P412" s="57"/>
      <c r="Q412" s="57">
        <v>11055000</v>
      </c>
      <c r="R412" s="57">
        <v>641523000</v>
      </c>
      <c r="S412" s="57"/>
      <c r="T412" s="57"/>
      <c r="U412" s="57">
        <f t="shared" si="108"/>
        <v>8748000</v>
      </c>
      <c r="V412" s="57"/>
      <c r="W412" s="57">
        <v>8748000</v>
      </c>
      <c r="X412" s="121"/>
      <c r="Y412" s="121"/>
      <c r="Z412" s="121"/>
      <c r="AA412" s="121"/>
      <c r="AB412" s="121"/>
      <c r="AC412" s="121"/>
      <c r="AD412" s="121"/>
      <c r="AE412" s="121"/>
      <c r="AF412" s="121"/>
      <c r="AG412" s="121"/>
      <c r="AH412" s="121"/>
      <c r="AI412" s="121"/>
      <c r="AJ412" s="52">
        <f t="shared" si="101"/>
        <v>3874545</v>
      </c>
      <c r="AK412" s="59">
        <f>1180000*0.3</f>
        <v>354000</v>
      </c>
      <c r="AL412" s="34">
        <v>44279</v>
      </c>
      <c r="AM412" s="60">
        <v>540</v>
      </c>
      <c r="AN412" s="34">
        <f>1779*2550</f>
        <v>4536450</v>
      </c>
      <c r="AO412" s="60">
        <f t="shared" si="109"/>
        <v>1458000</v>
      </c>
      <c r="AP412" s="59">
        <v>700000</v>
      </c>
      <c r="AQ412" s="55">
        <v>43590000948484</v>
      </c>
      <c r="AR412" s="55">
        <v>144230980000</v>
      </c>
      <c r="AS412" s="55">
        <v>38660569000</v>
      </c>
      <c r="AT412" s="55">
        <v>99274049000</v>
      </c>
      <c r="AU412" s="55">
        <v>27288635</v>
      </c>
      <c r="AV412" s="99">
        <v>4585601732.6000004</v>
      </c>
      <c r="AX412" s="74">
        <f t="shared" si="76"/>
        <v>2.2774500307381298E-3</v>
      </c>
    </row>
    <row r="413" spans="1:50" ht="15">
      <c r="A413" s="50">
        <v>44280</v>
      </c>
      <c r="B413" s="118">
        <v>28260765000</v>
      </c>
      <c r="C413" s="118">
        <v>21531205000</v>
      </c>
      <c r="D413" s="118"/>
      <c r="E413" s="118"/>
      <c r="F413" s="65">
        <f t="shared" si="118"/>
        <v>49791970000</v>
      </c>
      <c r="G413" s="65">
        <f t="shared" si="73"/>
        <v>13443832</v>
      </c>
      <c r="H413" s="122">
        <f t="shared" si="115"/>
        <v>17572000</v>
      </c>
      <c r="I413" s="121">
        <v>11832000000</v>
      </c>
      <c r="J413" s="121">
        <v>11849572000</v>
      </c>
      <c r="K413" s="121"/>
      <c r="L413" s="122">
        <f t="shared" si="116"/>
        <v>7949000</v>
      </c>
      <c r="M413" s="121"/>
      <c r="N413" s="121">
        <v>7949000</v>
      </c>
      <c r="O413" s="122">
        <f t="shared" si="117"/>
        <v>3136000</v>
      </c>
      <c r="P413" s="121"/>
      <c r="Q413" s="121">
        <v>3136000</v>
      </c>
      <c r="R413" s="121">
        <v>517820000</v>
      </c>
      <c r="S413" s="121"/>
      <c r="T413" s="121"/>
      <c r="U413" s="121">
        <f t="shared" si="108"/>
        <v>40921000</v>
      </c>
      <c r="V413" s="121"/>
      <c r="W413" s="121">
        <v>40921000</v>
      </c>
      <c r="X413" s="121"/>
      <c r="Y413" s="121"/>
      <c r="Z413" s="121"/>
      <c r="AA413" s="121"/>
      <c r="AB413" s="121"/>
      <c r="AC413" s="121"/>
      <c r="AD413" s="121"/>
      <c r="AE413" s="121"/>
      <c r="AF413" s="121"/>
      <c r="AG413" s="121"/>
      <c r="AH413" s="121"/>
      <c r="AI413" s="121"/>
      <c r="AJ413" s="52">
        <f t="shared" si="101"/>
        <v>2233428</v>
      </c>
      <c r="AK413" s="124">
        <f>1165700*0.3</f>
        <v>349710</v>
      </c>
      <c r="AL413" s="34">
        <v>44280</v>
      </c>
      <c r="AM413" s="125">
        <v>478</v>
      </c>
      <c r="AN413" s="54">
        <f>1475*2550</f>
        <v>3761250</v>
      </c>
      <c r="AO413" s="125">
        <f t="shared" si="109"/>
        <v>1290600</v>
      </c>
      <c r="AP413" s="124">
        <v>1400000</v>
      </c>
      <c r="AQ413" s="55">
        <v>39939022680076</v>
      </c>
      <c r="AR413" s="55">
        <v>109173654000</v>
      </c>
      <c r="AS413" s="55">
        <v>15218349000</v>
      </c>
      <c r="AT413" s="55">
        <v>65010319000</v>
      </c>
      <c r="AU413" s="55">
        <v>22478820</v>
      </c>
      <c r="AV413" s="99">
        <v>4608080552.6000004</v>
      </c>
      <c r="AX413" s="74">
        <f t="shared" si="76"/>
        <v>1.6277393545844345E-3</v>
      </c>
    </row>
    <row r="414" spans="1:50" ht="15">
      <c r="A414" s="41">
        <v>44281</v>
      </c>
      <c r="B414" s="65">
        <f>77265365000-J414-N414-Q414-R414-W414</f>
        <v>40157190000</v>
      </c>
      <c r="C414" s="65"/>
      <c r="D414" s="65"/>
      <c r="E414" s="65"/>
      <c r="F414" s="65">
        <f t="shared" si="118"/>
        <v>40157190000</v>
      </c>
      <c r="G414" s="65">
        <f t="shared" si="73"/>
        <v>10842441</v>
      </c>
      <c r="H414" s="58">
        <f t="shared" si="115"/>
        <v>2968503000</v>
      </c>
      <c r="I414" s="58">
        <v>29180000000</v>
      </c>
      <c r="J414" s="58">
        <v>32148503000</v>
      </c>
      <c r="K414" s="58"/>
      <c r="L414" s="58">
        <f t="shared" si="116"/>
        <v>547830000</v>
      </c>
      <c r="M414" s="58">
        <v>3902000000</v>
      </c>
      <c r="N414" s="58">
        <v>4449830000</v>
      </c>
      <c r="O414" s="58">
        <f t="shared" si="117"/>
        <v>1558000</v>
      </c>
      <c r="P414" s="58"/>
      <c r="Q414" s="58">
        <v>1558000</v>
      </c>
      <c r="R414" s="58">
        <v>503988000</v>
      </c>
      <c r="S414" s="58"/>
      <c r="T414" s="58"/>
      <c r="U414" s="58">
        <f t="shared" si="108"/>
        <v>4296000</v>
      </c>
      <c r="V414" s="58"/>
      <c r="W414" s="58">
        <v>4296000</v>
      </c>
      <c r="X414" s="122"/>
      <c r="Y414" s="122"/>
      <c r="Z414" s="122"/>
      <c r="AA414" s="122"/>
      <c r="AB414" s="122"/>
      <c r="AC414" s="122"/>
      <c r="AD414" s="122"/>
      <c r="AE414" s="122"/>
      <c r="AF414" s="122"/>
      <c r="AG414" s="122"/>
      <c r="AH414" s="122"/>
      <c r="AI414" s="122"/>
      <c r="AJ414" s="123">
        <f t="shared" si="101"/>
        <v>6426183</v>
      </c>
      <c r="AK414" s="66">
        <f>(181600*0.3)+300000</f>
        <v>354480</v>
      </c>
      <c r="AL414" s="42">
        <v>44281</v>
      </c>
      <c r="AM414" s="116">
        <v>792</v>
      </c>
      <c r="AN414" s="42">
        <f>1307*2550*3</f>
        <v>9998550</v>
      </c>
      <c r="AO414" s="125">
        <f t="shared" si="109"/>
        <v>2138400</v>
      </c>
      <c r="AP414" s="66"/>
      <c r="AQ414" s="55">
        <v>40559108243904</v>
      </c>
      <c r="AR414" s="55">
        <v>279883230000</v>
      </c>
      <c r="AS414" s="55">
        <v>38675178000</v>
      </c>
      <c r="AT414" s="55">
        <v>78832368000</v>
      </c>
      <c r="AU414" s="55">
        <v>29760054</v>
      </c>
      <c r="AV414" s="99">
        <v>4637840606.6000004</v>
      </c>
      <c r="AX414" s="74">
        <f t="shared" si="76"/>
        <v>1.943641549659772E-3</v>
      </c>
    </row>
    <row r="415" spans="1:50" ht="15">
      <c r="A415" s="28">
        <v>44284</v>
      </c>
      <c r="B415" s="56">
        <v>37546680000</v>
      </c>
      <c r="C415" s="56"/>
      <c r="D415" s="56"/>
      <c r="E415" s="56"/>
      <c r="F415" s="65">
        <f t="shared" si="118"/>
        <v>37546680000</v>
      </c>
      <c r="G415" s="65">
        <f t="shared" si="73"/>
        <v>10137604</v>
      </c>
      <c r="H415" s="58">
        <f t="shared" si="115"/>
        <v>8257881000</v>
      </c>
      <c r="I415" s="57">
        <v>68722500000</v>
      </c>
      <c r="J415" s="57">
        <v>76980381000</v>
      </c>
      <c r="K415" s="57"/>
      <c r="L415" s="58">
        <f t="shared" si="116"/>
        <v>0</v>
      </c>
      <c r="M415" s="57">
        <v>15726000000</v>
      </c>
      <c r="N415" s="57">
        <v>15726000000</v>
      </c>
      <c r="O415" s="58">
        <f t="shared" si="117"/>
        <v>1566000</v>
      </c>
      <c r="P415" s="57"/>
      <c r="Q415" s="57">
        <v>1566000</v>
      </c>
      <c r="R415" s="57">
        <v>615404000</v>
      </c>
      <c r="S415" s="57"/>
      <c r="T415" s="57"/>
      <c r="U415" s="57">
        <f t="shared" si="108"/>
        <v>2895000</v>
      </c>
      <c r="V415" s="57"/>
      <c r="W415" s="57">
        <v>2895000</v>
      </c>
      <c r="X415" s="121"/>
      <c r="Y415" s="121"/>
      <c r="Z415" s="121"/>
      <c r="AA415" s="121"/>
      <c r="AB415" s="121"/>
      <c r="AC415" s="121"/>
      <c r="AD415" s="121"/>
      <c r="AE415" s="121"/>
      <c r="AF415" s="121"/>
      <c r="AG415" s="121"/>
      <c r="AH415" s="121"/>
      <c r="AI415" s="121"/>
      <c r="AJ415" s="52">
        <f t="shared" si="101"/>
        <v>16204044</v>
      </c>
      <c r="AK415" s="59">
        <f>(25700*0.3)+300000</f>
        <v>307710</v>
      </c>
      <c r="AL415" s="42">
        <v>44284</v>
      </c>
      <c r="AM415" s="60">
        <v>268</v>
      </c>
      <c r="AN415" s="34">
        <f>1495*2550</f>
        <v>3812250</v>
      </c>
      <c r="AO415" s="60">
        <f t="shared" si="109"/>
        <v>723600</v>
      </c>
      <c r="AP415" s="59"/>
      <c r="AQ415" s="55">
        <v>36194424184950</v>
      </c>
      <c r="AR415" s="55">
        <v>261115992000</v>
      </c>
      <c r="AS415" s="55">
        <v>93799803000</v>
      </c>
      <c r="AT415" s="55">
        <v>131346483000</v>
      </c>
      <c r="AU415" s="55">
        <v>31185208</v>
      </c>
      <c r="AV415" s="99">
        <v>4669025814.6000004</v>
      </c>
      <c r="AX415" s="74">
        <f t="shared" si="76"/>
        <v>3.6289148386180201E-3</v>
      </c>
    </row>
    <row r="416" spans="1:50" ht="15">
      <c r="A416" s="28">
        <v>44285</v>
      </c>
      <c r="B416" s="56">
        <v>7072530000</v>
      </c>
      <c r="C416" s="56"/>
      <c r="D416" s="56"/>
      <c r="E416" s="56"/>
      <c r="F416" s="65">
        <f t="shared" si="118"/>
        <v>7072530000</v>
      </c>
      <c r="G416" s="65">
        <f t="shared" si="73"/>
        <v>1909583</v>
      </c>
      <c r="H416" s="58">
        <f t="shared" si="115"/>
        <v>0</v>
      </c>
      <c r="I416" s="57">
        <v>15962000000</v>
      </c>
      <c r="J416" s="57">
        <v>15962000000</v>
      </c>
      <c r="K416" s="57"/>
      <c r="L416" s="58">
        <f t="shared" si="116"/>
        <v>654470000</v>
      </c>
      <c r="M416" s="57">
        <v>1981000000</v>
      </c>
      <c r="N416" s="57">
        <v>2635470000</v>
      </c>
      <c r="O416" s="58">
        <f t="shared" si="117"/>
        <v>0</v>
      </c>
      <c r="P416" s="57"/>
      <c r="Q416" s="57">
        <v>0</v>
      </c>
      <c r="R416" s="57">
        <v>863589000</v>
      </c>
      <c r="S416" s="57"/>
      <c r="T416" s="57"/>
      <c r="U416" s="57">
        <f t="shared" si="108"/>
        <v>3035000</v>
      </c>
      <c r="V416" s="57"/>
      <c r="W416" s="57">
        <v>3035000</v>
      </c>
      <c r="X416" s="121"/>
      <c r="Y416" s="121"/>
      <c r="Z416" s="121"/>
      <c r="AA416" s="121"/>
      <c r="AB416" s="121"/>
      <c r="AC416" s="121"/>
      <c r="AD416" s="121"/>
      <c r="AE416" s="121"/>
      <c r="AF416" s="121"/>
      <c r="AG416" s="121"/>
      <c r="AH416" s="121"/>
      <c r="AI416" s="121"/>
      <c r="AJ416" s="52">
        <f t="shared" si="101"/>
        <v>3456415</v>
      </c>
      <c r="AK416" s="59">
        <f>52500*0.3</f>
        <v>15750</v>
      </c>
      <c r="AL416" s="42">
        <v>44285</v>
      </c>
      <c r="AM416" s="60">
        <v>230</v>
      </c>
      <c r="AN416" s="34">
        <f>1705*2550</f>
        <v>4347750</v>
      </c>
      <c r="AO416" s="60">
        <f t="shared" si="109"/>
        <v>621000</v>
      </c>
      <c r="AP416" s="59"/>
      <c r="AQ416" s="55">
        <v>41803465824080</v>
      </c>
      <c r="AR416" s="55">
        <v>79879988000</v>
      </c>
      <c r="AS416" s="55">
        <v>35967062000</v>
      </c>
      <c r="AT416" s="55">
        <v>43039592000</v>
      </c>
      <c r="AU416" s="55">
        <v>10350498</v>
      </c>
      <c r="AV416" s="99">
        <v>4679376312.6000004</v>
      </c>
      <c r="AX416" s="74">
        <f t="shared" si="76"/>
        <v>1.0295699447773528E-3</v>
      </c>
    </row>
    <row r="417" spans="1:50" ht="15">
      <c r="A417" s="28">
        <v>44286</v>
      </c>
      <c r="B417" s="56">
        <v>14079395000</v>
      </c>
      <c r="C417" s="56">
        <v>15944880000</v>
      </c>
      <c r="D417" s="56"/>
      <c r="E417" s="56"/>
      <c r="F417" s="65">
        <f t="shared" si="118"/>
        <v>30024275000</v>
      </c>
      <c r="G417" s="65">
        <f t="shared" si="73"/>
        <v>8106554</v>
      </c>
      <c r="H417" s="58">
        <f t="shared" si="115"/>
        <v>156529000</v>
      </c>
      <c r="I417" s="57">
        <v>26031000000</v>
      </c>
      <c r="J417" s="57">
        <v>26187529000</v>
      </c>
      <c r="K417" s="57"/>
      <c r="L417" s="58">
        <f t="shared" si="116"/>
        <v>4313194000</v>
      </c>
      <c r="M417" s="57"/>
      <c r="N417" s="57">
        <v>4313194000</v>
      </c>
      <c r="O417" s="58">
        <f t="shared" si="117"/>
        <v>0</v>
      </c>
      <c r="P417" s="57"/>
      <c r="Q417" s="57">
        <v>0</v>
      </c>
      <c r="R417" s="57">
        <v>802748000</v>
      </c>
      <c r="S417" s="57"/>
      <c r="T417" s="57"/>
      <c r="U417" s="57">
        <f t="shared" si="108"/>
        <v>25428000</v>
      </c>
      <c r="V417" s="57">
        <v>2988000000</v>
      </c>
      <c r="W417" s="57">
        <v>3013428000</v>
      </c>
      <c r="X417" s="121"/>
      <c r="Y417" s="121"/>
      <c r="Z417" s="121"/>
      <c r="AA417" s="121"/>
      <c r="AB417" s="121"/>
      <c r="AC417" s="121"/>
      <c r="AD417" s="121"/>
      <c r="AE417" s="121"/>
      <c r="AF417" s="121"/>
      <c r="AG417" s="121"/>
      <c r="AH417" s="121"/>
      <c r="AI417" s="121"/>
      <c r="AJ417" s="52">
        <f t="shared" si="101"/>
        <v>5855222</v>
      </c>
      <c r="AK417" s="59">
        <f>670900*0.3</f>
        <v>201270</v>
      </c>
      <c r="AL417" s="42">
        <v>44286</v>
      </c>
      <c r="AM417" s="60">
        <v>366</v>
      </c>
      <c r="AN417" s="34">
        <f>1911*2550</f>
        <v>4873050</v>
      </c>
      <c r="AO417" s="60">
        <f t="shared" si="109"/>
        <v>988200</v>
      </c>
      <c r="AP417" s="59">
        <v>800000</v>
      </c>
      <c r="AQ417" s="55">
        <v>39006816892400</v>
      </c>
      <c r="AR417" s="55">
        <v>83453624000</v>
      </c>
      <c r="AS417" s="55">
        <v>65014271000</v>
      </c>
      <c r="AT417" s="55">
        <v>95038546000</v>
      </c>
      <c r="AU417" s="55">
        <v>20824296</v>
      </c>
      <c r="AV417" s="99">
        <v>4700200608.6000004</v>
      </c>
      <c r="AX417" s="74">
        <f t="shared" si="76"/>
        <v>2.4364599208944191E-3</v>
      </c>
    </row>
    <row r="418" spans="1:50" ht="15">
      <c r="A418" s="50">
        <v>44287</v>
      </c>
      <c r="B418" s="118">
        <v>63300545000</v>
      </c>
      <c r="C418" s="118">
        <v>2311475000</v>
      </c>
      <c r="D418" s="118"/>
      <c r="E418" s="118"/>
      <c r="F418" s="120">
        <f t="shared" ref="F418:F437" si="119">SUM(B418:E418)</f>
        <v>65612020000</v>
      </c>
      <c r="G418" s="120">
        <f t="shared" si="73"/>
        <v>17715245</v>
      </c>
      <c r="H418" s="122">
        <f t="shared" si="115"/>
        <v>6818860000</v>
      </c>
      <c r="I418" s="121"/>
      <c r="J418" s="121">
        <v>6818860000</v>
      </c>
      <c r="K418" s="121"/>
      <c r="L418" s="122">
        <f t="shared" si="116"/>
        <v>4193199000</v>
      </c>
      <c r="M418" s="121"/>
      <c r="N418" s="121">
        <v>4193199000</v>
      </c>
      <c r="O418" s="122">
        <f t="shared" si="117"/>
        <v>3276000</v>
      </c>
      <c r="P418" s="121"/>
      <c r="Q418" s="121">
        <v>3276000</v>
      </c>
      <c r="R418" s="121">
        <v>463923000</v>
      </c>
      <c r="S418" s="121"/>
      <c r="T418" s="121">
        <f>R418+S418</f>
        <v>463923000</v>
      </c>
      <c r="U418" s="57">
        <f t="shared" si="108"/>
        <v>6000000</v>
      </c>
      <c r="V418" s="121"/>
      <c r="W418" s="121">
        <v>6000000</v>
      </c>
      <c r="X418" s="121"/>
      <c r="Y418" s="121"/>
      <c r="Z418" s="121"/>
      <c r="AA418" s="121"/>
      <c r="AB418" s="121"/>
      <c r="AC418" s="121"/>
      <c r="AD418" s="121"/>
      <c r="AE418" s="121"/>
      <c r="AF418" s="121"/>
      <c r="AG418" s="121"/>
      <c r="AH418" s="121"/>
      <c r="AI418" s="121"/>
      <c r="AJ418" s="52">
        <f t="shared" ref="AJ418:AJ450" si="120">ROUND(H418*0.0108%+I418*0.018%+K418*0.018%+L418*0.0108%+M418*0.018%+O418*0.0108%+P418*0.018%+R418*0.0108%+S418*0.018%+V418*0.018%+U418*0.0108%,0)</f>
        <v>1240408</v>
      </c>
      <c r="AK418" s="124">
        <f>1401000*0.3</f>
        <v>420300</v>
      </c>
      <c r="AL418" s="42">
        <v>44287</v>
      </c>
      <c r="AM418" s="125">
        <v>699</v>
      </c>
      <c r="AN418" s="54">
        <f>1622*2550</f>
        <v>4136100</v>
      </c>
      <c r="AO418" s="125">
        <f t="shared" si="109"/>
        <v>1887300</v>
      </c>
      <c r="AP418" s="124">
        <v>1300000</v>
      </c>
      <c r="AQ418" s="55">
        <v>42902602176624</v>
      </c>
      <c r="AR418" s="55">
        <v>116948908000</v>
      </c>
      <c r="AS418" s="55">
        <v>12115931000</v>
      </c>
      <c r="AT418" s="55">
        <v>77727951000</v>
      </c>
      <c r="AU418" s="55">
        <v>26699353</v>
      </c>
      <c r="AV418" s="99">
        <v>4726899961.6000004</v>
      </c>
      <c r="AX418" s="74">
        <f t="shared" si="76"/>
        <v>1.8117304558824875E-3</v>
      </c>
    </row>
    <row r="419" spans="1:50" ht="15">
      <c r="A419" s="50">
        <v>44288</v>
      </c>
      <c r="B419" s="65">
        <v>44911785000</v>
      </c>
      <c r="C419" s="65"/>
      <c r="D419" s="65"/>
      <c r="E419" s="65"/>
      <c r="F419" s="65">
        <f t="shared" si="119"/>
        <v>44911785000</v>
      </c>
      <c r="G419" s="65">
        <f t="shared" ref="G419:G450" si="121">ROUND(F419*0.027%,0)</f>
        <v>12126182</v>
      </c>
      <c r="H419" s="58">
        <f t="shared" si="115"/>
        <v>233113000</v>
      </c>
      <c r="I419" s="58">
        <v>17840480000</v>
      </c>
      <c r="J419" s="58">
        <v>18073593000</v>
      </c>
      <c r="K419" s="58"/>
      <c r="L419" s="58">
        <f t="shared" si="116"/>
        <v>7940926000</v>
      </c>
      <c r="M419" s="58">
        <v>16416000000</v>
      </c>
      <c r="N419" s="58">
        <v>24356926000</v>
      </c>
      <c r="O419" s="58">
        <f t="shared" si="117"/>
        <v>0</v>
      </c>
      <c r="P419" s="58"/>
      <c r="Q419" s="58">
        <v>0</v>
      </c>
      <c r="R419" s="58">
        <v>259882000</v>
      </c>
      <c r="S419" s="58"/>
      <c r="T419" s="58">
        <f>R419+S419</f>
        <v>259882000</v>
      </c>
      <c r="U419" s="57">
        <f t="shared" si="108"/>
        <v>1534000</v>
      </c>
      <c r="V419" s="58">
        <v>3083000000</v>
      </c>
      <c r="W419" s="58">
        <v>3084534000</v>
      </c>
      <c r="X419" s="122"/>
      <c r="Y419" s="122"/>
      <c r="Z419" s="122"/>
      <c r="AA419" s="122"/>
      <c r="AB419" s="122"/>
      <c r="AC419" s="122"/>
      <c r="AD419" s="122"/>
      <c r="AE419" s="122"/>
      <c r="AF419" s="122"/>
      <c r="AG419" s="122"/>
      <c r="AH419" s="122"/>
      <c r="AI419" s="122"/>
      <c r="AJ419" s="52">
        <f t="shared" si="120"/>
        <v>7632136</v>
      </c>
      <c r="AK419" s="66">
        <f>1452900*0.3</f>
        <v>435870</v>
      </c>
      <c r="AL419" s="42">
        <v>44288</v>
      </c>
      <c r="AM419" s="116">
        <v>567</v>
      </c>
      <c r="AN419" s="42">
        <f>1687*2550*3</f>
        <v>12905550</v>
      </c>
      <c r="AO419" s="125">
        <f t="shared" si="109"/>
        <v>1530900</v>
      </c>
      <c r="AP419" s="66"/>
      <c r="AQ419" s="55">
        <v>42308549087614</v>
      </c>
      <c r="AR419" s="55">
        <v>131087500000</v>
      </c>
      <c r="AS419" s="55">
        <v>53006033000</v>
      </c>
      <c r="AT419" s="55">
        <v>97917818000</v>
      </c>
      <c r="AU419" s="55">
        <v>34630638</v>
      </c>
      <c r="AV419" s="99">
        <v>4761530599.6000004</v>
      </c>
      <c r="AX419" s="74">
        <f t="shared" si="76"/>
        <v>2.3143742839592161E-3</v>
      </c>
    </row>
    <row r="420" spans="1:50" ht="15">
      <c r="A420" s="28">
        <v>44291</v>
      </c>
      <c r="B420" s="56">
        <v>26585240000</v>
      </c>
      <c r="C420" s="56"/>
      <c r="D420" s="56"/>
      <c r="E420" s="56"/>
      <c r="F420" s="65">
        <f t="shared" si="119"/>
        <v>26585240000</v>
      </c>
      <c r="G420" s="65">
        <f t="shared" si="121"/>
        <v>7178015</v>
      </c>
      <c r="H420" s="58">
        <f t="shared" si="115"/>
        <v>6300000</v>
      </c>
      <c r="I420" s="57">
        <v>12587700000</v>
      </c>
      <c r="J420" s="57">
        <v>12594000000</v>
      </c>
      <c r="K420" s="57"/>
      <c r="L420" s="58">
        <f t="shared" si="116"/>
        <v>4381212000</v>
      </c>
      <c r="M420" s="57">
        <v>10237000000</v>
      </c>
      <c r="N420" s="57">
        <v>14618212000</v>
      </c>
      <c r="O420" s="58">
        <f t="shared" si="117"/>
        <v>151038000</v>
      </c>
      <c r="P420" s="57"/>
      <c r="Q420" s="57">
        <v>151038000</v>
      </c>
      <c r="R420" s="57">
        <v>449318000</v>
      </c>
      <c r="S420" s="57"/>
      <c r="T420" s="58">
        <f t="shared" ref="T420:T427" si="122">R420+S420</f>
        <v>449318000</v>
      </c>
      <c r="U420" s="57">
        <f t="shared" si="108"/>
        <v>10899000</v>
      </c>
      <c r="V420" s="57"/>
      <c r="W420" s="57">
        <v>10899000</v>
      </c>
      <c r="X420" s="121"/>
      <c r="Y420" s="121"/>
      <c r="Z420" s="121"/>
      <c r="AA420" s="121"/>
      <c r="AB420" s="121"/>
      <c r="AC420" s="121"/>
      <c r="AD420" s="121"/>
      <c r="AE420" s="121"/>
      <c r="AF420" s="121"/>
      <c r="AG420" s="121"/>
      <c r="AH420" s="121"/>
      <c r="AI420" s="121"/>
      <c r="AJ420" s="52">
        <f t="shared" si="120"/>
        <v>4648313</v>
      </c>
      <c r="AK420" s="59">
        <f>673000*0.3</f>
        <v>201900</v>
      </c>
      <c r="AL420" s="42">
        <v>44291</v>
      </c>
      <c r="AM420" s="60">
        <v>585</v>
      </c>
      <c r="AN420" s="34">
        <f>1690*2550</f>
        <v>4309500</v>
      </c>
      <c r="AO420" s="125">
        <f t="shared" si="109"/>
        <v>1579500</v>
      </c>
      <c r="AP420" s="59">
        <v>72784255</v>
      </c>
      <c r="AQ420" s="55">
        <v>41487156897122</v>
      </c>
      <c r="AR420" s="55">
        <v>265203510000</v>
      </c>
      <c r="AS420" s="55">
        <v>34694097000</v>
      </c>
      <c r="AT420" s="55">
        <v>61279337000</v>
      </c>
      <c r="AU420" s="55">
        <v>90701483</v>
      </c>
      <c r="AV420" s="99">
        <v>4852232082.6000004</v>
      </c>
      <c r="AX420" s="74">
        <f t="shared" si="76"/>
        <v>1.4770676417272402E-3</v>
      </c>
    </row>
    <row r="421" spans="1:50" ht="15">
      <c r="A421" s="28">
        <v>44292</v>
      </c>
      <c r="B421" s="56">
        <v>36727485000</v>
      </c>
      <c r="C421" s="56"/>
      <c r="D421" s="56"/>
      <c r="E421" s="56"/>
      <c r="F421" s="65">
        <f t="shared" si="119"/>
        <v>36727485000</v>
      </c>
      <c r="G421" s="65">
        <f t="shared" si="121"/>
        <v>9916421</v>
      </c>
      <c r="H421" s="58">
        <f t="shared" si="115"/>
        <v>443742000</v>
      </c>
      <c r="I421" s="57">
        <v>20985000000</v>
      </c>
      <c r="J421" s="57">
        <v>21428742000</v>
      </c>
      <c r="K421" s="57"/>
      <c r="L421" s="58">
        <f t="shared" si="116"/>
        <v>5878057000</v>
      </c>
      <c r="M421" s="57">
        <v>4110000000</v>
      </c>
      <c r="N421" s="57">
        <v>9988057000</v>
      </c>
      <c r="O421" s="58">
        <f t="shared" si="117"/>
        <v>141346000</v>
      </c>
      <c r="P421" s="57"/>
      <c r="Q421" s="57">
        <v>141346000</v>
      </c>
      <c r="R421" s="57">
        <v>820063000</v>
      </c>
      <c r="S421" s="57"/>
      <c r="T421" s="58">
        <f t="shared" si="122"/>
        <v>820063000</v>
      </c>
      <c r="U421" s="57">
        <f t="shared" si="108"/>
        <v>388247000</v>
      </c>
      <c r="V421" s="57"/>
      <c r="W421" s="57">
        <v>388247000</v>
      </c>
      <c r="X421" s="121"/>
      <c r="Y421" s="121"/>
      <c r="Z421" s="121"/>
      <c r="AA421" s="121"/>
      <c r="AB421" s="121"/>
      <c r="AC421" s="121"/>
      <c r="AD421" s="121"/>
      <c r="AE421" s="121"/>
      <c r="AF421" s="121"/>
      <c r="AG421" s="121"/>
      <c r="AH421" s="121"/>
      <c r="AI421" s="121"/>
      <c r="AJ421" s="52">
        <f t="shared" si="120"/>
        <v>5345617</v>
      </c>
      <c r="AK421" s="59">
        <f>(740200*0.3)+300000</f>
        <v>522060</v>
      </c>
      <c r="AL421" s="42">
        <v>44292</v>
      </c>
      <c r="AM421" s="60">
        <v>377</v>
      </c>
      <c r="AN421" s="34">
        <f>1605*2550</f>
        <v>4092750</v>
      </c>
      <c r="AO421" s="125">
        <f t="shared" si="109"/>
        <v>1017900</v>
      </c>
      <c r="AP421" s="59"/>
      <c r="AQ421" s="55">
        <v>43721201974236</v>
      </c>
      <c r="AR421" s="55">
        <v>82592672000</v>
      </c>
      <c r="AS421" s="55">
        <v>34775762000</v>
      </c>
      <c r="AT421" s="55">
        <v>71503247000</v>
      </c>
      <c r="AU421" s="55">
        <v>20894748</v>
      </c>
      <c r="AV421" s="99">
        <v>4873126830.6000004</v>
      </c>
      <c r="AX421" s="74">
        <f t="shared" ref="AX421:AX422" si="123">AT421/AQ421</f>
        <v>1.6354364420752975E-3</v>
      </c>
    </row>
    <row r="422" spans="1:50" ht="15">
      <c r="A422" s="28">
        <v>44293</v>
      </c>
      <c r="B422" s="56">
        <v>27517280000</v>
      </c>
      <c r="C422" s="56"/>
      <c r="D422" s="56"/>
      <c r="E422" s="56"/>
      <c r="F422" s="65">
        <f t="shared" si="119"/>
        <v>27517280000</v>
      </c>
      <c r="G422" s="65">
        <f t="shared" si="121"/>
        <v>7429666</v>
      </c>
      <c r="H422" s="58">
        <f t="shared" si="115"/>
        <v>0</v>
      </c>
      <c r="I422" s="57">
        <v>14755000000</v>
      </c>
      <c r="J422" s="57">
        <v>14755000000</v>
      </c>
      <c r="K422" s="57"/>
      <c r="L422" s="58">
        <f t="shared" si="116"/>
        <v>1609281000</v>
      </c>
      <c r="M422" s="57"/>
      <c r="N422" s="57">
        <v>1609281000</v>
      </c>
      <c r="O422" s="58">
        <f t="shared" si="117"/>
        <v>0</v>
      </c>
      <c r="P422" s="57"/>
      <c r="Q422" s="57">
        <v>0</v>
      </c>
      <c r="R422" s="57">
        <v>503961000</v>
      </c>
      <c r="S422" s="57"/>
      <c r="T422" s="58">
        <f t="shared" si="122"/>
        <v>503961000</v>
      </c>
      <c r="U422" s="57">
        <f t="shared" si="108"/>
        <v>31203000</v>
      </c>
      <c r="V422" s="57"/>
      <c r="W422" s="57">
        <v>31203000</v>
      </c>
      <c r="X422" s="121"/>
      <c r="Y422" s="121"/>
      <c r="Z422" s="121"/>
      <c r="AA422" s="121"/>
      <c r="AB422" s="121"/>
      <c r="AC422" s="121"/>
      <c r="AD422" s="121"/>
      <c r="AE422" s="121"/>
      <c r="AF422" s="121"/>
      <c r="AG422" s="121"/>
      <c r="AH422" s="121"/>
      <c r="AI422" s="121"/>
      <c r="AJ422" s="52">
        <f t="shared" si="120"/>
        <v>2887500</v>
      </c>
      <c r="AK422" s="59">
        <f>794000*0.3</f>
        <v>238200</v>
      </c>
      <c r="AL422" s="42">
        <v>44293</v>
      </c>
      <c r="AM422" s="60">
        <v>355</v>
      </c>
      <c r="AN422" s="34">
        <f>1556*2550</f>
        <v>3967800</v>
      </c>
      <c r="AO422" s="125">
        <f t="shared" si="109"/>
        <v>958500</v>
      </c>
      <c r="AP422" s="59"/>
      <c r="AQ422" s="55">
        <v>40932419826108</v>
      </c>
      <c r="AR422" s="55">
        <v>274280226000</v>
      </c>
      <c r="AS422" s="55">
        <v>21508167000</v>
      </c>
      <c r="AT422" s="55">
        <v>49025447000</v>
      </c>
      <c r="AU422" s="55">
        <v>15481666</v>
      </c>
      <c r="AV422" s="99">
        <v>4888608496.6000004</v>
      </c>
      <c r="AX422" s="74">
        <f t="shared" si="123"/>
        <v>1.1977168026780086E-3</v>
      </c>
    </row>
    <row r="423" spans="1:50" ht="15">
      <c r="A423" s="50">
        <v>44294</v>
      </c>
      <c r="B423" s="118">
        <v>28949165000</v>
      </c>
      <c r="C423" s="118"/>
      <c r="D423" s="118"/>
      <c r="E423" s="118"/>
      <c r="F423" s="65">
        <f t="shared" si="119"/>
        <v>28949165000</v>
      </c>
      <c r="G423" s="65">
        <f>ROUND(F423*0.027%,0)</f>
        <v>7816275</v>
      </c>
      <c r="H423" s="122">
        <f t="shared" si="115"/>
        <v>380108000</v>
      </c>
      <c r="I423" s="121">
        <v>21048000000</v>
      </c>
      <c r="J423" s="121">
        <v>21428108000</v>
      </c>
      <c r="K423" s="121"/>
      <c r="L423" s="122">
        <f t="shared" si="116"/>
        <v>3746409000</v>
      </c>
      <c r="M423" s="121"/>
      <c r="N423" s="121">
        <v>3746409000</v>
      </c>
      <c r="O423" s="122">
        <f t="shared" si="117"/>
        <v>5198000</v>
      </c>
      <c r="P423" s="121"/>
      <c r="Q423" s="121">
        <v>5198000</v>
      </c>
      <c r="R423" s="121">
        <v>545433000</v>
      </c>
      <c r="S423" s="121"/>
      <c r="T423" s="58">
        <f t="shared" si="122"/>
        <v>545433000</v>
      </c>
      <c r="U423" s="121">
        <f t="shared" si="108"/>
        <v>4705000</v>
      </c>
      <c r="V423" s="121"/>
      <c r="W423" s="121">
        <v>4705000</v>
      </c>
      <c r="X423" s="121"/>
      <c r="Y423" s="121"/>
      <c r="Z423" s="121"/>
      <c r="AA423" s="121"/>
      <c r="AB423" s="121"/>
      <c r="AC423" s="121"/>
      <c r="AD423" s="121"/>
      <c r="AE423" s="121"/>
      <c r="AF423" s="121"/>
      <c r="AG423" s="121"/>
      <c r="AH423" s="121"/>
      <c r="AI423" s="121"/>
      <c r="AJ423" s="52">
        <f t="shared" si="120"/>
        <v>4294280</v>
      </c>
      <c r="AK423" s="124">
        <f>867900*0.3</f>
        <v>260370</v>
      </c>
      <c r="AL423" s="127">
        <v>44294</v>
      </c>
      <c r="AM423" s="125">
        <v>366</v>
      </c>
      <c r="AN423" s="54">
        <f>1590*2550</f>
        <v>4054500</v>
      </c>
      <c r="AO423" s="125">
        <f t="shared" si="109"/>
        <v>988200</v>
      </c>
      <c r="AP423" s="124"/>
      <c r="AQ423" s="55">
        <v>38108975936638</v>
      </c>
      <c r="AR423" s="55">
        <v>67336636000</v>
      </c>
      <c r="AS423" s="55">
        <v>34824875000</v>
      </c>
      <c r="AT423" s="55">
        <v>63774040000</v>
      </c>
      <c r="AU423" s="55">
        <v>17413625</v>
      </c>
      <c r="AV423" s="99">
        <v>4906022121.6000004</v>
      </c>
      <c r="AX423" s="74">
        <f t="shared" ref="AX423:AX432" si="124">AT423/AQ423</f>
        <v>1.6734650678106411E-3</v>
      </c>
    </row>
    <row r="424" spans="1:50" ht="15">
      <c r="A424" s="50">
        <v>44295</v>
      </c>
      <c r="B424" s="65">
        <f>36711360000+25530000000</f>
        <v>62241360000</v>
      </c>
      <c r="C424" s="65">
        <v>3798765000</v>
      </c>
      <c r="D424" s="65"/>
      <c r="E424" s="65"/>
      <c r="F424" s="65">
        <f t="shared" si="119"/>
        <v>66040125000</v>
      </c>
      <c r="G424" s="65">
        <f>ROUND(F424*0.027%,0)</f>
        <v>17830834</v>
      </c>
      <c r="H424" s="122">
        <f t="shared" si="115"/>
        <v>2090000</v>
      </c>
      <c r="I424" s="58">
        <v>12608000000</v>
      </c>
      <c r="J424" s="58">
        <v>12610090000</v>
      </c>
      <c r="K424" s="129"/>
      <c r="L424" s="57">
        <f t="shared" si="116"/>
        <v>3619333000</v>
      </c>
      <c r="M424" s="130"/>
      <c r="N424" s="58">
        <v>3619333000</v>
      </c>
      <c r="O424" s="57">
        <f t="shared" si="117"/>
        <v>0</v>
      </c>
      <c r="P424" s="58"/>
      <c r="Q424" s="58">
        <v>0</v>
      </c>
      <c r="R424" s="58">
        <v>684490000</v>
      </c>
      <c r="S424" s="58"/>
      <c r="T424" s="58">
        <f t="shared" si="122"/>
        <v>684490000</v>
      </c>
      <c r="U424" s="57">
        <f t="shared" si="108"/>
        <v>373799000</v>
      </c>
      <c r="V424" s="58"/>
      <c r="W424" s="58">
        <v>373799000</v>
      </c>
      <c r="X424" s="122"/>
      <c r="Y424" s="122"/>
      <c r="Z424" s="122"/>
      <c r="AA424" s="122"/>
      <c r="AB424" s="122"/>
      <c r="AC424" s="122"/>
      <c r="AD424" s="122"/>
      <c r="AE424" s="122"/>
      <c r="AF424" s="122"/>
      <c r="AG424" s="122"/>
      <c r="AH424" s="122"/>
      <c r="AI424" s="122"/>
      <c r="AJ424" s="52">
        <f t="shared" si="120"/>
        <v>2774849</v>
      </c>
      <c r="AK424" s="66">
        <f>1003100*0.3</f>
        <v>300930</v>
      </c>
      <c r="AL424" s="42">
        <v>44295</v>
      </c>
      <c r="AM424" s="116">
        <v>535</v>
      </c>
      <c r="AN424" s="42">
        <f>1353*2550*3</f>
        <v>10350450</v>
      </c>
      <c r="AO424" s="125">
        <f t="shared" si="109"/>
        <v>1444500</v>
      </c>
      <c r="AP424" s="66">
        <v>800000</v>
      </c>
      <c r="AQ424" s="55">
        <v>44200735550346</v>
      </c>
      <c r="AR424" s="55">
        <v>160719444000</v>
      </c>
      <c r="AS424" s="55">
        <v>47062122000</v>
      </c>
      <c r="AT424" s="55">
        <v>113102247000</v>
      </c>
      <c r="AU424" s="55">
        <v>33501563</v>
      </c>
      <c r="AV424" s="99">
        <v>4939523684.6000004</v>
      </c>
      <c r="AX424" s="74">
        <f t="shared" si="124"/>
        <v>2.5588317839456099E-3</v>
      </c>
    </row>
    <row r="425" spans="1:50" ht="15">
      <c r="A425" s="28">
        <v>44298</v>
      </c>
      <c r="B425" s="56">
        <v>10126675000</v>
      </c>
      <c r="C425" s="56">
        <v>4592570000</v>
      </c>
      <c r="D425" s="56"/>
      <c r="E425" s="56"/>
      <c r="F425" s="65">
        <f t="shared" si="119"/>
        <v>14719245000</v>
      </c>
      <c r="G425" s="65">
        <f t="shared" si="121"/>
        <v>3974196</v>
      </c>
      <c r="H425" s="58">
        <f t="shared" si="115"/>
        <v>11062887000</v>
      </c>
      <c r="I425" s="57">
        <v>18380200000</v>
      </c>
      <c r="J425" s="57">
        <v>29443087000</v>
      </c>
      <c r="K425" s="131"/>
      <c r="L425" s="57">
        <f t="shared" si="116"/>
        <v>2060083000</v>
      </c>
      <c r="M425" s="132"/>
      <c r="N425" s="57">
        <v>2060083000</v>
      </c>
      <c r="O425" s="57">
        <f t="shared" si="117"/>
        <v>3458000</v>
      </c>
      <c r="P425" s="57"/>
      <c r="Q425" s="57">
        <v>3458000</v>
      </c>
      <c r="R425" s="57">
        <v>556792000</v>
      </c>
      <c r="S425" s="57"/>
      <c r="T425" s="58">
        <f t="shared" si="122"/>
        <v>556792000</v>
      </c>
      <c r="U425" s="57">
        <f t="shared" si="108"/>
        <v>1576325000</v>
      </c>
      <c r="V425" s="57"/>
      <c r="W425" s="57">
        <v>1576325000</v>
      </c>
      <c r="X425" s="121"/>
      <c r="Y425" s="121"/>
      <c r="Z425" s="121"/>
      <c r="AA425" s="121"/>
      <c r="AB425" s="121"/>
      <c r="AC425" s="121"/>
      <c r="AD425" s="121"/>
      <c r="AE425" s="121"/>
      <c r="AF425" s="121"/>
      <c r="AG425" s="121"/>
      <c r="AH425" s="121"/>
      <c r="AI425" s="121"/>
      <c r="AJ425" s="52">
        <f t="shared" si="120"/>
        <v>4956467</v>
      </c>
      <c r="AK425" s="59">
        <f>360500*0.3</f>
        <v>108150</v>
      </c>
      <c r="AL425" s="42">
        <v>44298</v>
      </c>
      <c r="AM425" s="60">
        <v>248</v>
      </c>
      <c r="AN425" s="34">
        <f>1497*2550</f>
        <v>3817350</v>
      </c>
      <c r="AO425" s="125">
        <f t="shared" si="109"/>
        <v>669600</v>
      </c>
      <c r="AP425" s="59">
        <v>800000</v>
      </c>
      <c r="AQ425" s="55">
        <v>51975719570406</v>
      </c>
      <c r="AR425" s="55">
        <v>278115314000</v>
      </c>
      <c r="AS425" s="55">
        <v>65196236000</v>
      </c>
      <c r="AT425" s="55">
        <v>79915481000</v>
      </c>
      <c r="AU425" s="55">
        <v>14325763</v>
      </c>
      <c r="AV425" s="99">
        <v>4953849447.6000004</v>
      </c>
      <c r="AX425" s="74">
        <f t="shared" si="124"/>
        <v>1.5375541052730778E-3</v>
      </c>
    </row>
    <row r="426" spans="1:50" ht="15">
      <c r="A426" s="28">
        <v>44299</v>
      </c>
      <c r="B426" s="56">
        <v>17867485000</v>
      </c>
      <c r="C426" s="56">
        <v>3591925000</v>
      </c>
      <c r="D426" s="56"/>
      <c r="E426" s="56"/>
      <c r="F426" s="65">
        <f t="shared" si="119"/>
        <v>21459410000</v>
      </c>
      <c r="G426" s="65">
        <f t="shared" si="121"/>
        <v>5794041</v>
      </c>
      <c r="H426" s="58">
        <f t="shared" si="115"/>
        <v>9654351000</v>
      </c>
      <c r="I426" s="57"/>
      <c r="J426" s="57">
        <v>9654351000</v>
      </c>
      <c r="K426" s="131"/>
      <c r="L426" s="57">
        <f t="shared" si="116"/>
        <v>1625457000</v>
      </c>
      <c r="M426" s="132"/>
      <c r="N426" s="57">
        <v>1625457000</v>
      </c>
      <c r="O426" s="57">
        <f t="shared" si="117"/>
        <v>0</v>
      </c>
      <c r="P426" s="57"/>
      <c r="Q426" s="57">
        <v>0</v>
      </c>
      <c r="R426" s="57">
        <v>513242000</v>
      </c>
      <c r="S426" s="57"/>
      <c r="T426" s="58">
        <f t="shared" si="122"/>
        <v>513242000</v>
      </c>
      <c r="U426" s="57">
        <f t="shared" si="108"/>
        <v>2611595000</v>
      </c>
      <c r="V426" s="57"/>
      <c r="W426" s="57">
        <v>2611595000</v>
      </c>
      <c r="X426" s="121"/>
      <c r="Y426" s="121"/>
      <c r="Z426" s="121"/>
      <c r="AA426" s="121"/>
      <c r="AB426" s="121"/>
      <c r="AC426" s="121"/>
      <c r="AD426" s="121"/>
      <c r="AE426" s="121"/>
      <c r="AF426" s="121"/>
      <c r="AG426" s="121"/>
      <c r="AH426" s="121"/>
      <c r="AI426" s="121"/>
      <c r="AJ426" s="52">
        <f t="shared" si="120"/>
        <v>1555702</v>
      </c>
      <c r="AK426" s="59">
        <f>696200*0.3</f>
        <v>208860</v>
      </c>
      <c r="AL426" s="42">
        <v>44299</v>
      </c>
      <c r="AM426" s="60">
        <v>1449</v>
      </c>
      <c r="AN426" s="34">
        <f>1348*2550</f>
        <v>3437400</v>
      </c>
      <c r="AO426" s="125">
        <f t="shared" si="109"/>
        <v>3912300</v>
      </c>
      <c r="AP426" s="59">
        <v>600000</v>
      </c>
      <c r="AQ426" s="55">
        <v>58584362815768</v>
      </c>
      <c r="AR426" s="55">
        <v>60772130000</v>
      </c>
      <c r="AS426" s="55">
        <v>15024032000</v>
      </c>
      <c r="AT426" s="55">
        <v>36483442000</v>
      </c>
      <c r="AU426" s="55">
        <v>15508303</v>
      </c>
      <c r="AV426" s="99">
        <v>4969357750.6000004</v>
      </c>
      <c r="AX426" s="74">
        <f t="shared" si="124"/>
        <v>6.2275051304612754E-4</v>
      </c>
    </row>
    <row r="427" spans="1:50" ht="15">
      <c r="A427" s="28">
        <v>44300</v>
      </c>
      <c r="B427" s="56">
        <v>24943420000</v>
      </c>
      <c r="C427" s="56">
        <v>1484170000</v>
      </c>
      <c r="D427" s="56"/>
      <c r="E427" s="56"/>
      <c r="F427" s="65">
        <f t="shared" si="119"/>
        <v>26427590000</v>
      </c>
      <c r="G427" s="65">
        <f t="shared" si="121"/>
        <v>7135449</v>
      </c>
      <c r="H427" s="58">
        <f t="shared" si="115"/>
        <v>14589334000</v>
      </c>
      <c r="I427" s="57"/>
      <c r="J427" s="57">
        <v>14589334000</v>
      </c>
      <c r="K427" s="131"/>
      <c r="L427" s="57">
        <f t="shared" si="116"/>
        <v>4178000</v>
      </c>
      <c r="M427" s="132"/>
      <c r="N427" s="57">
        <v>4178000</v>
      </c>
      <c r="O427" s="57">
        <f t="shared" si="117"/>
        <v>0</v>
      </c>
      <c r="P427" s="57"/>
      <c r="Q427" s="57">
        <v>0</v>
      </c>
      <c r="R427" s="57">
        <v>578174000</v>
      </c>
      <c r="S427" s="57"/>
      <c r="T427" s="58">
        <f t="shared" si="122"/>
        <v>578174000</v>
      </c>
      <c r="U427" s="57">
        <f t="shared" si="108"/>
        <v>4784000</v>
      </c>
      <c r="V427" s="57"/>
      <c r="W427" s="57">
        <v>4784000</v>
      </c>
      <c r="X427" s="121"/>
      <c r="Y427" s="121"/>
      <c r="Z427" s="121"/>
      <c r="AA427" s="121"/>
      <c r="AB427" s="121"/>
      <c r="AC427" s="121"/>
      <c r="AD427" s="121"/>
      <c r="AE427" s="121"/>
      <c r="AF427" s="121"/>
      <c r="AG427" s="121"/>
      <c r="AH427" s="121"/>
      <c r="AI427" s="121"/>
      <c r="AJ427" s="52">
        <f t="shared" si="120"/>
        <v>1639059</v>
      </c>
      <c r="AK427" s="59">
        <f>263700*0.3</f>
        <v>79110</v>
      </c>
      <c r="AL427" s="42">
        <v>44300</v>
      </c>
      <c r="AM427" s="60">
        <v>2145</v>
      </c>
      <c r="AN427" s="34">
        <f>2203*2550</f>
        <v>5617650</v>
      </c>
      <c r="AO427" s="125">
        <f t="shared" si="109"/>
        <v>5791500</v>
      </c>
      <c r="AP427" s="59">
        <v>600000</v>
      </c>
      <c r="AQ427" s="55">
        <v>46412580737844</v>
      </c>
      <c r="AR427" s="55">
        <v>518464178000</v>
      </c>
      <c r="AS427" s="55">
        <v>22178860000</v>
      </c>
      <c r="AT427" s="55">
        <v>48606450000</v>
      </c>
      <c r="AU427" s="55">
        <v>20862768</v>
      </c>
      <c r="AV427" s="99">
        <v>4990220518.6000004</v>
      </c>
      <c r="AX427" s="74">
        <f t="shared" si="124"/>
        <v>1.0472688488181213E-3</v>
      </c>
    </row>
    <row r="428" spans="1:50" ht="15">
      <c r="A428" s="50">
        <v>44301</v>
      </c>
      <c r="B428" s="118">
        <v>28588255000</v>
      </c>
      <c r="C428" s="118">
        <f>4796090000+1199740000</f>
        <v>5995830000</v>
      </c>
      <c r="D428" s="118"/>
      <c r="E428" s="118"/>
      <c r="F428" s="65">
        <f t="shared" si="119"/>
        <v>34584085000</v>
      </c>
      <c r="G428" s="65">
        <f t="shared" si="121"/>
        <v>9337703</v>
      </c>
      <c r="H428" s="58">
        <f t="shared" si="115"/>
        <v>7969936000</v>
      </c>
      <c r="I428" s="121">
        <v>87465818000</v>
      </c>
      <c r="J428" s="121">
        <v>95435754000</v>
      </c>
      <c r="K428" s="133"/>
      <c r="L428" s="57">
        <f t="shared" si="116"/>
        <v>0</v>
      </c>
      <c r="M428" s="134"/>
      <c r="N428" s="121"/>
      <c r="O428" s="57">
        <f t="shared" si="117"/>
        <v>0</v>
      </c>
      <c r="P428" s="121"/>
      <c r="Q428" s="121"/>
      <c r="R428" s="121">
        <f>T428-S428</f>
        <v>1058047000</v>
      </c>
      <c r="S428" s="121"/>
      <c r="T428" s="58">
        <v>1058047000</v>
      </c>
      <c r="U428" s="57">
        <f t="shared" si="108"/>
        <v>1603000</v>
      </c>
      <c r="V428" s="121"/>
      <c r="W428" s="121">
        <v>1603000</v>
      </c>
      <c r="X428" s="121"/>
      <c r="Y428" s="121"/>
      <c r="Z428" s="121"/>
      <c r="AA428" s="121"/>
      <c r="AB428" s="121"/>
      <c r="AC428" s="121"/>
      <c r="AD428" s="121"/>
      <c r="AE428" s="121"/>
      <c r="AF428" s="121"/>
      <c r="AG428" s="121"/>
      <c r="AH428" s="121"/>
      <c r="AI428" s="121"/>
      <c r="AJ428" s="52">
        <f t="shared" si="120"/>
        <v>16719043</v>
      </c>
      <c r="AK428" s="124">
        <f>566600*0.3</f>
        <v>169980</v>
      </c>
      <c r="AL428" s="127">
        <v>44301</v>
      </c>
      <c r="AM428" s="125">
        <v>1101</v>
      </c>
      <c r="AN428" s="54">
        <f>2588*2550</f>
        <v>6599400</v>
      </c>
      <c r="AO428" s="125">
        <f t="shared" si="109"/>
        <v>2972700</v>
      </c>
      <c r="AP428" s="124">
        <v>700000</v>
      </c>
      <c r="AQ428" s="55">
        <v>49914478788352</v>
      </c>
      <c r="AR428" s="55">
        <v>478580654000</v>
      </c>
      <c r="AS428" s="55">
        <v>197222467000</v>
      </c>
      <c r="AT428" s="55">
        <v>231806552000</v>
      </c>
      <c r="AU428" s="55">
        <v>36498826</v>
      </c>
      <c r="AV428" s="99">
        <v>5026719344.6000004</v>
      </c>
      <c r="AX428" s="74">
        <f t="shared" si="124"/>
        <v>4.6440743773546959E-3</v>
      </c>
    </row>
    <row r="429" spans="1:50" ht="15">
      <c r="A429" s="41">
        <v>44302</v>
      </c>
      <c r="B429" s="56"/>
      <c r="C429" s="56"/>
      <c r="D429" s="65"/>
      <c r="E429" s="65"/>
      <c r="F429" s="65">
        <f t="shared" si="119"/>
        <v>0</v>
      </c>
      <c r="G429" s="65">
        <f t="shared" si="121"/>
        <v>0</v>
      </c>
      <c r="H429" s="58">
        <f t="shared" si="115"/>
        <v>12659980000</v>
      </c>
      <c r="I429" s="58">
        <v>4288000000</v>
      </c>
      <c r="J429" s="58">
        <v>16947980000</v>
      </c>
      <c r="K429" s="58"/>
      <c r="L429" s="57">
        <f t="shared" si="116"/>
        <v>2098000</v>
      </c>
      <c r="M429" s="58"/>
      <c r="N429" s="58">
        <v>2098000</v>
      </c>
      <c r="O429" s="57">
        <f t="shared" si="117"/>
        <v>0</v>
      </c>
      <c r="P429" s="58"/>
      <c r="Q429" s="58">
        <v>0</v>
      </c>
      <c r="R429" s="57">
        <f>T429-S429</f>
        <v>541634000</v>
      </c>
      <c r="S429" s="58"/>
      <c r="T429" s="58">
        <v>541634000</v>
      </c>
      <c r="U429" s="57">
        <f t="shared" si="108"/>
        <v>1512324000</v>
      </c>
      <c r="V429" s="58"/>
      <c r="W429" s="58">
        <v>1512324000</v>
      </c>
      <c r="X429" s="122"/>
      <c r="Y429" s="122"/>
      <c r="Z429" s="122"/>
      <c r="AA429" s="122"/>
      <c r="AB429" s="122"/>
      <c r="AC429" s="122"/>
      <c r="AD429" s="122"/>
      <c r="AE429" s="122"/>
      <c r="AF429" s="122"/>
      <c r="AG429" s="122"/>
      <c r="AH429" s="122"/>
      <c r="AI429" s="122"/>
      <c r="AJ429" s="52">
        <f t="shared" si="120"/>
        <v>2361172</v>
      </c>
      <c r="AK429" s="66">
        <f>512100*0.3</f>
        <v>153630</v>
      </c>
      <c r="AL429" s="34">
        <v>44302</v>
      </c>
      <c r="AM429" s="116">
        <v>291</v>
      </c>
      <c r="AN429" s="42">
        <f>1860*2550*3</f>
        <v>14229000</v>
      </c>
      <c r="AO429" s="125">
        <f t="shared" si="109"/>
        <v>785700</v>
      </c>
      <c r="AP429" s="66"/>
      <c r="AQ429" s="55">
        <v>54234649495100</v>
      </c>
      <c r="AR429" s="55">
        <v>219339252000</v>
      </c>
      <c r="AS429" s="55">
        <v>30838877000</v>
      </c>
      <c r="AT429" s="55">
        <v>30838877000</v>
      </c>
      <c r="AU429" s="55">
        <v>17529502</v>
      </c>
      <c r="AV429" s="99">
        <v>5044248846.6000004</v>
      </c>
      <c r="AX429" s="74">
        <f t="shared" si="124"/>
        <v>5.6861945798665546E-4</v>
      </c>
    </row>
    <row r="430" spans="1:50" ht="15">
      <c r="A430" s="28">
        <v>44305</v>
      </c>
      <c r="B430" s="65">
        <v>32376996000</v>
      </c>
      <c r="C430" s="65">
        <v>4016870000</v>
      </c>
      <c r="D430" s="56"/>
      <c r="E430" s="56"/>
      <c r="F430" s="65">
        <f t="shared" si="119"/>
        <v>36393866000</v>
      </c>
      <c r="G430" s="65">
        <f t="shared" si="121"/>
        <v>9826344</v>
      </c>
      <c r="H430" s="58">
        <f t="shared" si="115"/>
        <v>12267693000</v>
      </c>
      <c r="I430" s="57">
        <v>12898000000</v>
      </c>
      <c r="J430" s="57">
        <v>25165693000</v>
      </c>
      <c r="K430" s="57"/>
      <c r="L430" s="58">
        <f t="shared" si="116"/>
        <v>5938954000</v>
      </c>
      <c r="M430" s="57"/>
      <c r="N430" s="57">
        <v>5938954000</v>
      </c>
      <c r="O430" s="58">
        <f t="shared" si="117"/>
        <v>119985000</v>
      </c>
      <c r="P430" s="57"/>
      <c r="Q430" s="57">
        <v>119985000</v>
      </c>
      <c r="R430" s="57">
        <f>T430-S430</f>
        <v>660448000</v>
      </c>
      <c r="S430" s="57"/>
      <c r="T430" s="57">
        <v>660448000</v>
      </c>
      <c r="U430" s="57">
        <f t="shared" si="108"/>
        <v>27461000</v>
      </c>
      <c r="V430" s="57">
        <v>2424000000</v>
      </c>
      <c r="W430" s="57">
        <v>2451461000</v>
      </c>
      <c r="X430" s="121"/>
      <c r="Y430" s="121"/>
      <c r="Z430" s="121"/>
      <c r="AA430" s="121"/>
      <c r="AB430" s="121"/>
      <c r="AC430" s="121"/>
      <c r="AD430" s="121"/>
      <c r="AE430" s="121"/>
      <c r="AF430" s="121"/>
      <c r="AG430" s="121"/>
      <c r="AH430" s="121"/>
      <c r="AI430" s="121"/>
      <c r="AJ430" s="52">
        <f t="shared" si="120"/>
        <v>4811530</v>
      </c>
      <c r="AK430" s="59">
        <f>1026700*0.3</f>
        <v>308010</v>
      </c>
      <c r="AL430" s="34">
        <v>44305</v>
      </c>
      <c r="AM430" s="60">
        <v>493</v>
      </c>
      <c r="AN430" s="34">
        <f>1793*2550</f>
        <v>4572150</v>
      </c>
      <c r="AO430" s="125">
        <f t="shared" si="109"/>
        <v>1331100</v>
      </c>
      <c r="AP430" s="59">
        <v>600000</v>
      </c>
      <c r="AQ430" s="55">
        <v>47079174357032</v>
      </c>
      <c r="AR430" s="55">
        <v>138463238000</v>
      </c>
      <c r="AS430" s="55">
        <v>51199064000</v>
      </c>
      <c r="AT430" s="55">
        <v>87592930000</v>
      </c>
      <c r="AU430" s="55">
        <v>21449134</v>
      </c>
      <c r="AV430" s="99">
        <v>5065697980.6000004</v>
      </c>
      <c r="AX430" s="74">
        <f t="shared" si="124"/>
        <v>1.8605451602809735E-3</v>
      </c>
    </row>
    <row r="431" spans="1:50" ht="15">
      <c r="A431" s="28">
        <v>44306</v>
      </c>
      <c r="B431" s="56">
        <v>81583445000</v>
      </c>
      <c r="C431" s="56">
        <v>13757080000</v>
      </c>
      <c r="D431" s="56"/>
      <c r="E431" s="56"/>
      <c r="F431" s="65">
        <f t="shared" si="119"/>
        <v>95340525000</v>
      </c>
      <c r="G431" s="65">
        <f t="shared" si="121"/>
        <v>25741942</v>
      </c>
      <c r="H431" s="58">
        <f t="shared" si="115"/>
        <v>12790767000</v>
      </c>
      <c r="I431" s="57">
        <v>8730000000</v>
      </c>
      <c r="J431" s="57">
        <v>21520767000</v>
      </c>
      <c r="K431" s="57"/>
      <c r="L431" s="58">
        <f t="shared" si="116"/>
        <v>4852018000</v>
      </c>
      <c r="M431" s="57">
        <v>6372000000</v>
      </c>
      <c r="N431" s="57">
        <v>11224018000</v>
      </c>
      <c r="O431" s="58">
        <f t="shared" si="117"/>
        <v>0</v>
      </c>
      <c r="P431" s="57"/>
      <c r="Q431" s="57">
        <v>0</v>
      </c>
      <c r="R431" s="57">
        <f t="shared" ref="R431:R450" si="125">T431-S431</f>
        <v>30552000</v>
      </c>
      <c r="S431" s="57"/>
      <c r="T431" s="57">
        <v>30552000</v>
      </c>
      <c r="U431" s="57">
        <f t="shared" si="108"/>
        <v>3308000</v>
      </c>
      <c r="V431" s="57"/>
      <c r="W431" s="57">
        <v>3308000</v>
      </c>
      <c r="X431" s="121"/>
      <c r="Y431" s="121"/>
      <c r="Z431" s="121"/>
      <c r="AA431" s="121"/>
      <c r="AB431" s="121"/>
      <c r="AC431" s="121"/>
      <c r="AD431" s="121"/>
      <c r="AE431" s="121"/>
      <c r="AF431" s="121"/>
      <c r="AG431" s="121"/>
      <c r="AH431" s="121"/>
      <c r="AI431" s="121"/>
      <c r="AJ431" s="52">
        <f t="shared" si="120"/>
        <v>4627438</v>
      </c>
      <c r="AK431" s="59">
        <f>898400*0.3</f>
        <v>269520</v>
      </c>
      <c r="AL431" s="34">
        <v>44306</v>
      </c>
      <c r="AM431" s="60">
        <v>1237</v>
      </c>
      <c r="AN431" s="34">
        <f>1504*2550*2</f>
        <v>7670400</v>
      </c>
      <c r="AO431" s="125">
        <f t="shared" si="109"/>
        <v>3339900</v>
      </c>
      <c r="AP431" s="59">
        <v>600000</v>
      </c>
      <c r="AQ431" s="55">
        <v>54313949578948</v>
      </c>
      <c r="AR431" s="55">
        <v>148639838000</v>
      </c>
      <c r="AS431" s="55">
        <v>41635633000</v>
      </c>
      <c r="AT431" s="55">
        <v>136976158000</v>
      </c>
      <c r="AU431" s="55">
        <v>42249200</v>
      </c>
      <c r="AV431" s="99">
        <v>5107947180.6000004</v>
      </c>
      <c r="AX431" s="74">
        <f t="shared" si="124"/>
        <v>2.521933298201752E-3</v>
      </c>
    </row>
    <row r="432" spans="1:50" ht="15">
      <c r="A432" s="50">
        <v>44308</v>
      </c>
      <c r="B432" s="118">
        <v>9133805000</v>
      </c>
      <c r="C432" s="118"/>
      <c r="D432" s="118">
        <v>1003170000</v>
      </c>
      <c r="E432" s="118"/>
      <c r="F432" s="120">
        <f t="shared" si="119"/>
        <v>10136975000</v>
      </c>
      <c r="G432" s="120">
        <f t="shared" si="121"/>
        <v>2736983</v>
      </c>
      <c r="H432" s="122">
        <f t="shared" si="115"/>
        <v>645772000</v>
      </c>
      <c r="I432" s="121">
        <v>53389500000</v>
      </c>
      <c r="J432" s="121">
        <v>54035272000</v>
      </c>
      <c r="K432" s="121"/>
      <c r="L432" s="122">
        <f t="shared" si="116"/>
        <v>0</v>
      </c>
      <c r="M432" s="121"/>
      <c r="N432" s="121">
        <v>0</v>
      </c>
      <c r="O432" s="122">
        <f t="shared" si="117"/>
        <v>3425000</v>
      </c>
      <c r="P432" s="121"/>
      <c r="Q432" s="121">
        <v>3425000</v>
      </c>
      <c r="R432" s="121">
        <f t="shared" si="125"/>
        <v>549537000</v>
      </c>
      <c r="S432" s="121"/>
      <c r="T432" s="121">
        <v>549537000</v>
      </c>
      <c r="U432" s="121">
        <f t="shared" si="108"/>
        <v>8171000</v>
      </c>
      <c r="V432" s="121"/>
      <c r="W432" s="121">
        <v>8171000</v>
      </c>
      <c r="X432" s="121"/>
      <c r="Y432" s="121"/>
      <c r="Z432" s="121"/>
      <c r="AA432" s="121"/>
      <c r="AB432" s="121"/>
      <c r="AC432" s="121"/>
      <c r="AD432" s="121"/>
      <c r="AE432" s="121"/>
      <c r="AF432" s="121"/>
      <c r="AG432" s="121"/>
      <c r="AH432" s="121"/>
      <c r="AI432" s="121"/>
      <c r="AJ432" s="52">
        <f t="shared" si="120"/>
        <v>9740456</v>
      </c>
      <c r="AK432" s="124">
        <f>(18100*0.3)+300000+89972</f>
        <v>395402</v>
      </c>
      <c r="AL432" s="54">
        <v>44308</v>
      </c>
      <c r="AM432" s="125">
        <v>274</v>
      </c>
      <c r="AN432" s="54">
        <f>1496*2550</f>
        <v>3814800</v>
      </c>
      <c r="AO432" s="125">
        <f t="shared" si="109"/>
        <v>739800</v>
      </c>
      <c r="AP432" s="124">
        <v>600000</v>
      </c>
      <c r="AQ432" s="55">
        <v>50856244474030</v>
      </c>
      <c r="AR432" s="55">
        <v>303409338000</v>
      </c>
      <c r="AS432" s="55">
        <v>64694703000</v>
      </c>
      <c r="AT432" s="55">
        <v>74831678000</v>
      </c>
      <c r="AU432" s="55">
        <v>18027441</v>
      </c>
      <c r="AV432" s="99">
        <v>5125974621.6000004</v>
      </c>
      <c r="AX432" s="74">
        <f t="shared" si="124"/>
        <v>1.4714353915419999E-3</v>
      </c>
    </row>
    <row r="433" spans="1:53" ht="15">
      <c r="A433" s="41">
        <v>44309</v>
      </c>
      <c r="B433" s="65">
        <v>26180135000</v>
      </c>
      <c r="C433" s="65"/>
      <c r="D433" s="65">
        <v>494960000</v>
      </c>
      <c r="E433" s="65">
        <v>353175000</v>
      </c>
      <c r="F433" s="65">
        <f t="shared" si="119"/>
        <v>27028270000</v>
      </c>
      <c r="G433" s="65">
        <f t="shared" si="121"/>
        <v>7297633</v>
      </c>
      <c r="H433" s="122">
        <f t="shared" si="115"/>
        <v>3763670000</v>
      </c>
      <c r="I433" s="58">
        <v>18425035000</v>
      </c>
      <c r="J433" s="58">
        <v>22188705000</v>
      </c>
      <c r="K433" s="58"/>
      <c r="L433" s="58">
        <f t="shared" si="116"/>
        <v>2596896000</v>
      </c>
      <c r="M433" s="58"/>
      <c r="N433" s="58">
        <v>2596896000</v>
      </c>
      <c r="O433" s="58">
        <f t="shared" si="117"/>
        <v>118515000</v>
      </c>
      <c r="P433" s="58"/>
      <c r="Q433" s="58">
        <v>118515000</v>
      </c>
      <c r="R433" s="58">
        <f t="shared" si="125"/>
        <v>566842000</v>
      </c>
      <c r="S433" s="58"/>
      <c r="T433" s="58">
        <v>566842000</v>
      </c>
      <c r="U433" s="58">
        <f t="shared" si="108"/>
        <v>49718000</v>
      </c>
      <c r="V433" s="58">
        <v>3494758000</v>
      </c>
      <c r="W433" s="58">
        <v>3544476000</v>
      </c>
      <c r="X433" s="122"/>
      <c r="Y433" s="122"/>
      <c r="Z433" s="122"/>
      <c r="AA433" s="122"/>
      <c r="AB433" s="122"/>
      <c r="AC433" s="122"/>
      <c r="AD433" s="122"/>
      <c r="AE433" s="122"/>
      <c r="AF433" s="122"/>
      <c r="AG433" s="122"/>
      <c r="AH433" s="122"/>
      <c r="AI433" s="122"/>
      <c r="AJ433" s="52">
        <f t="shared" si="120"/>
        <v>4711892</v>
      </c>
      <c r="AK433" s="66">
        <f>1216700*0.3</f>
        <v>365010</v>
      </c>
      <c r="AL433" s="42">
        <v>44309</v>
      </c>
      <c r="AM433" s="116">
        <v>355</v>
      </c>
      <c r="AN433" s="42">
        <f>1665*2550*3</f>
        <v>12737250</v>
      </c>
      <c r="AO433" s="126">
        <f t="shared" si="109"/>
        <v>958500</v>
      </c>
      <c r="AP433" s="66">
        <f>1000000+306270</f>
        <v>1306270</v>
      </c>
      <c r="AQ433" s="55">
        <v>46782650883560</v>
      </c>
      <c r="AR433" s="55">
        <v>285696508000</v>
      </c>
      <c r="AS433" s="55">
        <v>41410052000</v>
      </c>
      <c r="AT433" s="55">
        <v>68438322000</v>
      </c>
      <c r="AU433" s="55">
        <v>27376555</v>
      </c>
      <c r="AV433" s="99">
        <v>5153351176.6000004</v>
      </c>
      <c r="AX433" s="74">
        <f t="shared" ref="AX433:AX440" si="126">AT433/AQ433</f>
        <v>1.4628996157216494E-3</v>
      </c>
    </row>
    <row r="434" spans="1:53" ht="15">
      <c r="A434" s="28">
        <v>44312</v>
      </c>
      <c r="B434" s="56">
        <v>65504470000</v>
      </c>
      <c r="C434" s="56">
        <v>3884465000</v>
      </c>
      <c r="D434" s="56"/>
      <c r="E434" s="56"/>
      <c r="F434" s="65">
        <f t="shared" si="119"/>
        <v>69388935000</v>
      </c>
      <c r="G434" s="65">
        <f t="shared" si="121"/>
        <v>18735012</v>
      </c>
      <c r="H434" s="58">
        <f t="shared" si="115"/>
        <v>13278616000</v>
      </c>
      <c r="I434" s="57">
        <v>0</v>
      </c>
      <c r="J434" s="57">
        <v>13278616000</v>
      </c>
      <c r="K434" s="57"/>
      <c r="L434" s="58">
        <f t="shared" si="116"/>
        <v>7710277000</v>
      </c>
      <c r="M434" s="57">
        <v>0</v>
      </c>
      <c r="N434" s="57">
        <v>7710277000</v>
      </c>
      <c r="O434" s="58">
        <f t="shared" si="117"/>
        <v>1779000</v>
      </c>
      <c r="P434" s="57">
        <v>0</v>
      </c>
      <c r="Q434" s="57">
        <v>1779000</v>
      </c>
      <c r="R434" s="57">
        <f t="shared" si="125"/>
        <v>675010000</v>
      </c>
      <c r="S434" s="57">
        <v>0</v>
      </c>
      <c r="T434" s="57">
        <v>675010000</v>
      </c>
      <c r="U434" s="57">
        <f t="shared" si="108"/>
        <v>17490000</v>
      </c>
      <c r="V434" s="57">
        <v>0</v>
      </c>
      <c r="W434" s="57">
        <v>17490000</v>
      </c>
      <c r="X434" s="121"/>
      <c r="Y434" s="121"/>
      <c r="Z434" s="121"/>
      <c r="AA434" s="121"/>
      <c r="AB434" s="121"/>
      <c r="AC434" s="121"/>
      <c r="AD434" s="121"/>
      <c r="AE434" s="121"/>
      <c r="AF434" s="121"/>
      <c r="AG434" s="121"/>
      <c r="AH434" s="121"/>
      <c r="AI434" s="121"/>
      <c r="AJ434" s="52">
        <f t="shared" si="120"/>
        <v>2341783</v>
      </c>
      <c r="AK434" s="59">
        <f>1663600*0.3</f>
        <v>499080</v>
      </c>
      <c r="AL434" s="42">
        <v>44312</v>
      </c>
      <c r="AM434" s="60">
        <v>727</v>
      </c>
      <c r="AN434" s="34">
        <f>1378*2550</f>
        <v>3513900</v>
      </c>
      <c r="AO434" s="125">
        <f t="shared" si="109"/>
        <v>1962900</v>
      </c>
      <c r="AP434" s="59"/>
      <c r="AQ434" s="55">
        <v>45273864009232</v>
      </c>
      <c r="AR434" s="55">
        <v>912775570000</v>
      </c>
      <c r="AS434" s="55">
        <v>41134816000</v>
      </c>
      <c r="AT434" s="55">
        <v>110523751000</v>
      </c>
      <c r="AU434" s="55">
        <v>27052675</v>
      </c>
      <c r="AV434" s="99">
        <v>5180403851.6000004</v>
      </c>
      <c r="AX434" s="74">
        <f t="shared" si="126"/>
        <v>2.4412263768222343E-3</v>
      </c>
    </row>
    <row r="435" spans="1:53" ht="15">
      <c r="A435" s="28">
        <v>44313</v>
      </c>
      <c r="B435" s="56">
        <v>15593815000</v>
      </c>
      <c r="C435" s="108"/>
      <c r="D435" s="56">
        <v>893070000</v>
      </c>
      <c r="E435" s="56"/>
      <c r="F435" s="65">
        <f t="shared" si="119"/>
        <v>16486885000</v>
      </c>
      <c r="G435" s="65">
        <f t="shared" si="121"/>
        <v>4451459</v>
      </c>
      <c r="H435" s="58">
        <f t="shared" si="115"/>
        <v>1656889000</v>
      </c>
      <c r="I435" s="57">
        <v>34227000000</v>
      </c>
      <c r="J435" s="57">
        <v>35883889000</v>
      </c>
      <c r="K435" s="57"/>
      <c r="L435" s="58">
        <f t="shared" si="116"/>
        <v>9795127000</v>
      </c>
      <c r="M435" s="57"/>
      <c r="N435" s="57">
        <v>9795127000</v>
      </c>
      <c r="O435" s="58">
        <f t="shared" si="117"/>
        <v>0</v>
      </c>
      <c r="P435" s="57"/>
      <c r="Q435" s="57">
        <v>0</v>
      </c>
      <c r="R435" s="57">
        <f t="shared" si="125"/>
        <v>648264000</v>
      </c>
      <c r="S435" s="57"/>
      <c r="T435" s="57">
        <v>648264000</v>
      </c>
      <c r="U435" s="57">
        <f t="shared" si="108"/>
        <v>363176000</v>
      </c>
      <c r="V435" s="57"/>
      <c r="W435" s="57">
        <v>363176000</v>
      </c>
      <c r="X435" s="121"/>
      <c r="Y435" s="121"/>
      <c r="Z435" s="121"/>
      <c r="AA435" s="121"/>
      <c r="AB435" s="121"/>
      <c r="AC435" s="121"/>
      <c r="AD435" s="121"/>
      <c r="AE435" s="121"/>
      <c r="AF435" s="121"/>
      <c r="AG435" s="121"/>
      <c r="AH435" s="121"/>
      <c r="AI435" s="121"/>
      <c r="AJ435" s="52">
        <f t="shared" si="120"/>
        <v>7506913</v>
      </c>
      <c r="AK435" s="59">
        <f>924200*0.3</f>
        <v>277260</v>
      </c>
      <c r="AL435" s="42">
        <v>44313</v>
      </c>
      <c r="AM435" s="60">
        <v>312</v>
      </c>
      <c r="AN435" s="34">
        <f>1462*2550</f>
        <v>3728100</v>
      </c>
      <c r="AO435" s="125">
        <f t="shared" si="109"/>
        <v>842400</v>
      </c>
      <c r="AP435" s="59"/>
      <c r="AQ435" s="55">
        <v>35524687125214</v>
      </c>
      <c r="AR435" s="55">
        <v>252565850000</v>
      </c>
      <c r="AS435" s="55">
        <v>81848981000</v>
      </c>
      <c r="AT435" s="55">
        <v>98335866000</v>
      </c>
      <c r="AU435" s="55">
        <v>16806132</v>
      </c>
      <c r="AV435" s="99">
        <v>5197209983.6000004</v>
      </c>
      <c r="AX435" s="74">
        <f t="shared" si="126"/>
        <v>2.7680994248702375E-3</v>
      </c>
    </row>
    <row r="436" spans="1:53" ht="15">
      <c r="A436" s="28">
        <v>44314</v>
      </c>
      <c r="B436" s="56">
        <v>20729550000</v>
      </c>
      <c r="C436" s="56">
        <v>3317840000</v>
      </c>
      <c r="D436" s="56"/>
      <c r="E436" s="56"/>
      <c r="F436" s="65">
        <f t="shared" si="119"/>
        <v>24047390000</v>
      </c>
      <c r="G436" s="65">
        <f t="shared" si="121"/>
        <v>6492795</v>
      </c>
      <c r="H436" s="58">
        <f t="shared" si="115"/>
        <v>2214996000</v>
      </c>
      <c r="I436" s="57">
        <v>25806000000</v>
      </c>
      <c r="J436" s="57">
        <v>28020996000</v>
      </c>
      <c r="K436" s="57"/>
      <c r="L436" s="58">
        <f t="shared" si="116"/>
        <v>2267816000</v>
      </c>
      <c r="M436" s="57"/>
      <c r="N436" s="57">
        <v>2267816000</v>
      </c>
      <c r="O436" s="58">
        <f t="shared" si="117"/>
        <v>0</v>
      </c>
      <c r="P436" s="57"/>
      <c r="Q436" s="57">
        <v>0</v>
      </c>
      <c r="R436" s="57">
        <f t="shared" si="125"/>
        <v>550373000</v>
      </c>
      <c r="S436" s="57"/>
      <c r="T436" s="57">
        <v>550373000</v>
      </c>
      <c r="U436" s="57">
        <f t="shared" si="108"/>
        <v>1464341000</v>
      </c>
      <c r="V436" s="57">
        <v>2091700000</v>
      </c>
      <c r="W436" s="57">
        <v>3556041000</v>
      </c>
      <c r="X436" s="121"/>
      <c r="Y436" s="121"/>
      <c r="Z436" s="121"/>
      <c r="AA436" s="121"/>
      <c r="AB436" s="121"/>
      <c r="AC436" s="121"/>
      <c r="AD436" s="121"/>
      <c r="AE436" s="121"/>
      <c r="AF436" s="121"/>
      <c r="AG436" s="121"/>
      <c r="AH436" s="121"/>
      <c r="AI436" s="121"/>
      <c r="AJ436" s="52">
        <f t="shared" si="120"/>
        <v>5723319</v>
      </c>
      <c r="AK436" s="59">
        <f>712700*0.3</f>
        <v>213810</v>
      </c>
      <c r="AL436" s="42">
        <v>44314</v>
      </c>
      <c r="AM436" s="60">
        <v>213</v>
      </c>
      <c r="AN436" s="34">
        <f>1349*2550</f>
        <v>3439950</v>
      </c>
      <c r="AO436" s="125">
        <f t="shared" si="109"/>
        <v>575100</v>
      </c>
      <c r="AP436" s="59"/>
      <c r="AQ436" s="55">
        <v>35974015760400</v>
      </c>
      <c r="AR436" s="55">
        <v>192794648000</v>
      </c>
      <c r="AS436" s="55">
        <v>63457926000</v>
      </c>
      <c r="AT436" s="55">
        <v>87505316000</v>
      </c>
      <c r="AU436" s="55">
        <v>16444974</v>
      </c>
      <c r="AV436" s="99">
        <v>5213654957.6000004</v>
      </c>
      <c r="AX436" s="74">
        <f t="shared" si="126"/>
        <v>2.4324589332149395E-3</v>
      </c>
    </row>
    <row r="437" spans="1:53" ht="15">
      <c r="A437" s="50">
        <v>44315</v>
      </c>
      <c r="B437" s="118">
        <v>60823380000</v>
      </c>
      <c r="C437" s="118">
        <v>3851795000</v>
      </c>
      <c r="D437" s="118"/>
      <c r="E437" s="118"/>
      <c r="F437" s="120">
        <f t="shared" si="119"/>
        <v>64675175000</v>
      </c>
      <c r="G437" s="120">
        <f t="shared" si="121"/>
        <v>17462297</v>
      </c>
      <c r="H437" s="122">
        <f t="shared" si="115"/>
        <v>757395000</v>
      </c>
      <c r="I437" s="121">
        <v>19602000000</v>
      </c>
      <c r="J437" s="121">
        <v>20359395000</v>
      </c>
      <c r="K437" s="121"/>
      <c r="L437" s="122">
        <f t="shared" si="116"/>
        <v>1110652000</v>
      </c>
      <c r="M437" s="121"/>
      <c r="N437" s="121">
        <v>1110652000</v>
      </c>
      <c r="O437" s="122">
        <f t="shared" si="117"/>
        <v>1278455000</v>
      </c>
      <c r="P437" s="121"/>
      <c r="Q437" s="121">
        <v>1278455000</v>
      </c>
      <c r="R437" s="121">
        <f t="shared" si="125"/>
        <v>643530000</v>
      </c>
      <c r="S437" s="121"/>
      <c r="T437" s="121">
        <v>643530000</v>
      </c>
      <c r="U437" s="121">
        <f t="shared" si="108"/>
        <v>371414000</v>
      </c>
      <c r="V437" s="121"/>
      <c r="W437" s="121">
        <v>371414000</v>
      </c>
      <c r="X437" s="121"/>
      <c r="Y437" s="121"/>
      <c r="Z437" s="121"/>
      <c r="AA437" s="121"/>
      <c r="AB437" s="121"/>
      <c r="AC437" s="121"/>
      <c r="AD437" s="121"/>
      <c r="AE437" s="121"/>
      <c r="AF437" s="121"/>
      <c r="AG437" s="121"/>
      <c r="AH437" s="121"/>
      <c r="AI437" s="121"/>
      <c r="AJ437" s="52">
        <f t="shared" si="120"/>
        <v>3977796</v>
      </c>
      <c r="AK437" s="124">
        <f>950000*0.3</f>
        <v>285000</v>
      </c>
      <c r="AL437" s="127">
        <v>44315</v>
      </c>
      <c r="AM437" s="125">
        <v>186</v>
      </c>
      <c r="AN437" s="54">
        <f>1311*2550*2</f>
        <v>6686100</v>
      </c>
      <c r="AO437" s="125">
        <f t="shared" si="109"/>
        <v>502200</v>
      </c>
      <c r="AP437" s="124">
        <f>1600000</f>
        <v>1600000</v>
      </c>
      <c r="AQ437" s="55">
        <v>44637101123156</v>
      </c>
      <c r="AR437" s="55">
        <v>125745829400</v>
      </c>
      <c r="AS437" s="55">
        <v>52928927000</v>
      </c>
      <c r="AT437" s="55">
        <v>117604102000</v>
      </c>
      <c r="AU437" s="55">
        <v>30513393</v>
      </c>
      <c r="AV437" s="99">
        <v>5244168350.6000004</v>
      </c>
      <c r="AX437" s="74">
        <f t="shared" si="126"/>
        <v>2.6346715857628027E-3</v>
      </c>
    </row>
    <row r="438" spans="1:53" ht="15">
      <c r="A438" s="28">
        <v>44320</v>
      </c>
      <c r="B438" s="56">
        <v>58818105000</v>
      </c>
      <c r="C438" s="56">
        <v>5252970000</v>
      </c>
      <c r="D438" s="56"/>
      <c r="E438" s="56"/>
      <c r="F438" s="65">
        <f t="shared" ref="F438:F439" si="127">SUM(B438:E438)</f>
        <v>64071075000</v>
      </c>
      <c r="G438" s="65">
        <f>ROUND(F438*0.027%,0)</f>
        <v>17299190</v>
      </c>
      <c r="H438" s="58">
        <f t="shared" si="115"/>
        <v>9946133000</v>
      </c>
      <c r="I438" s="57">
        <v>3293250000</v>
      </c>
      <c r="J438" s="57">
        <v>13239383000</v>
      </c>
      <c r="K438" s="57"/>
      <c r="L438" s="58">
        <f t="shared" si="116"/>
        <v>1269785000</v>
      </c>
      <c r="M438" s="57"/>
      <c r="N438" s="57">
        <v>1269785000</v>
      </c>
      <c r="O438" s="58">
        <f t="shared" si="117"/>
        <v>415890000</v>
      </c>
      <c r="P438" s="57"/>
      <c r="Q438" s="57">
        <v>415890000</v>
      </c>
      <c r="R438" s="57">
        <f t="shared" si="125"/>
        <v>576904000</v>
      </c>
      <c r="S438" s="57"/>
      <c r="T438" s="57">
        <v>576904000</v>
      </c>
      <c r="U438" s="57">
        <f t="shared" si="108"/>
        <v>9794000</v>
      </c>
      <c r="V438" s="57"/>
      <c r="W438" s="57">
        <v>9794000</v>
      </c>
      <c r="X438" s="121"/>
      <c r="Y438" s="121"/>
      <c r="Z438" s="121"/>
      <c r="AA438" s="121"/>
      <c r="AB438" s="121"/>
      <c r="AC438" s="121"/>
      <c r="AD438" s="121"/>
      <c r="AE438" s="121"/>
      <c r="AF438" s="121"/>
      <c r="AG438" s="121"/>
      <c r="AH438" s="121"/>
      <c r="AI438" s="121"/>
      <c r="AJ438" s="52">
        <f t="shared" si="120"/>
        <v>1912384</v>
      </c>
      <c r="AK438" s="59">
        <f>569900*0.3</f>
        <v>170970</v>
      </c>
      <c r="AL438" s="42">
        <v>44320</v>
      </c>
      <c r="AM438" s="60">
        <v>530</v>
      </c>
      <c r="AN438" s="34">
        <f>1455*2550+1311*2550*3</f>
        <v>13739400</v>
      </c>
      <c r="AO438" s="125">
        <f t="shared" si="109"/>
        <v>1431000</v>
      </c>
      <c r="AP438" s="59">
        <v>500000</v>
      </c>
      <c r="AQ438" s="100">
        <v>48055544938168</v>
      </c>
      <c r="AR438" s="100">
        <v>123152069220</v>
      </c>
      <c r="AS438" s="100">
        <v>24169063000</v>
      </c>
      <c r="AT438" s="100">
        <v>88240138000</v>
      </c>
      <c r="AU438" s="55">
        <v>35052944</v>
      </c>
      <c r="AV438" s="99">
        <v>5279221294.6000004</v>
      </c>
      <c r="AX438" s="74">
        <f t="shared" si="126"/>
        <v>1.8362113698541266E-3</v>
      </c>
    </row>
    <row r="439" spans="1:53" ht="15">
      <c r="A439" s="28">
        <v>44321</v>
      </c>
      <c r="B439" s="56">
        <v>42052045000</v>
      </c>
      <c r="C439" s="56">
        <v>4139065000</v>
      </c>
      <c r="D439" s="56"/>
      <c r="E439" s="56"/>
      <c r="F439" s="65">
        <f t="shared" si="127"/>
        <v>46191110000</v>
      </c>
      <c r="G439" s="65">
        <f>ROUND(F439*0.027%,0)</f>
        <v>12471600</v>
      </c>
      <c r="H439" s="58">
        <f t="shared" si="115"/>
        <v>14598181000</v>
      </c>
      <c r="I439" s="57"/>
      <c r="J439" s="57">
        <v>14598181000</v>
      </c>
      <c r="K439" s="57"/>
      <c r="L439" s="58">
        <f t="shared" si="116"/>
        <v>277916000</v>
      </c>
      <c r="M439" s="57"/>
      <c r="N439" s="57">
        <v>277916000</v>
      </c>
      <c r="O439" s="58">
        <f t="shared" si="117"/>
        <v>101166000</v>
      </c>
      <c r="P439" s="57"/>
      <c r="Q439" s="57">
        <v>101166000</v>
      </c>
      <c r="R439" s="57">
        <f t="shared" si="125"/>
        <v>755485000</v>
      </c>
      <c r="S439" s="57"/>
      <c r="T439" s="57">
        <v>755485000</v>
      </c>
      <c r="U439" s="57">
        <f t="shared" si="108"/>
        <v>677054000</v>
      </c>
      <c r="V439" s="57"/>
      <c r="W439" s="57">
        <v>677054000</v>
      </c>
      <c r="X439" s="121"/>
      <c r="Y439" s="121"/>
      <c r="Z439" s="121"/>
      <c r="AA439" s="121"/>
      <c r="AB439" s="121"/>
      <c r="AC439" s="121"/>
      <c r="AD439" s="121"/>
      <c r="AE439" s="121"/>
      <c r="AF439" s="121"/>
      <c r="AG439" s="121"/>
      <c r="AH439" s="121"/>
      <c r="AI439" s="121"/>
      <c r="AJ439" s="52">
        <f t="shared" si="120"/>
        <v>1772259</v>
      </c>
      <c r="AK439" s="59">
        <f>834900*0.3</f>
        <v>250470</v>
      </c>
      <c r="AL439" s="42">
        <v>44321</v>
      </c>
      <c r="AM439" s="60">
        <v>332</v>
      </c>
      <c r="AN439" s="34">
        <f>1433*2550</f>
        <v>3654150</v>
      </c>
      <c r="AO439" s="125">
        <f t="shared" si="109"/>
        <v>896400</v>
      </c>
      <c r="AP439" s="59">
        <v>500000</v>
      </c>
      <c r="AQ439" s="100">
        <v>50247079773800</v>
      </c>
      <c r="AR439" s="100">
        <v>118649950000</v>
      </c>
      <c r="AS439" s="100">
        <v>16950194000</v>
      </c>
      <c r="AT439" s="100">
        <v>63141304000</v>
      </c>
      <c r="AU439" s="55">
        <v>19544879</v>
      </c>
      <c r="AV439" s="99">
        <v>5298766173.6000004</v>
      </c>
      <c r="AX439" s="74">
        <f t="shared" si="126"/>
        <v>1.2566163901314589E-3</v>
      </c>
    </row>
    <row r="440" spans="1:53" ht="15">
      <c r="A440" s="50">
        <v>44322</v>
      </c>
      <c r="B440" s="118">
        <v>46873210000</v>
      </c>
      <c r="C440" s="118">
        <v>4624875000</v>
      </c>
      <c r="D440" s="118"/>
      <c r="E440" s="118"/>
      <c r="F440" s="65">
        <f>SUM(B440:E440)</f>
        <v>51498085000</v>
      </c>
      <c r="G440" s="65">
        <f>ROUND(F440*0.027%,0)</f>
        <v>13904483</v>
      </c>
      <c r="H440" s="58">
        <f t="shared" si="115"/>
        <v>5997671000</v>
      </c>
      <c r="I440" s="121">
        <v>103310000000</v>
      </c>
      <c r="J440" s="121">
        <v>109307671000</v>
      </c>
      <c r="K440" s="121"/>
      <c r="L440" s="122">
        <f t="shared" si="116"/>
        <v>1422536000</v>
      </c>
      <c r="M440" s="121"/>
      <c r="N440" s="121">
        <v>1422536000</v>
      </c>
      <c r="O440" s="122">
        <f t="shared" si="117"/>
        <v>1391161000</v>
      </c>
      <c r="P440" s="121"/>
      <c r="Q440" s="121">
        <v>1391161000</v>
      </c>
      <c r="R440" s="121">
        <f t="shared" si="125"/>
        <v>362119000</v>
      </c>
      <c r="S440" s="121"/>
      <c r="T440" s="121">
        <v>362119000</v>
      </c>
      <c r="U440" s="121">
        <f t="shared" si="108"/>
        <v>72022000</v>
      </c>
      <c r="V440" s="121"/>
      <c r="W440" s="121">
        <v>72022000</v>
      </c>
      <c r="X440" s="121"/>
      <c r="Y440" s="121"/>
      <c r="Z440" s="121"/>
      <c r="AA440" s="121"/>
      <c r="AB440" s="121"/>
      <c r="AC440" s="121"/>
      <c r="AD440" s="121"/>
      <c r="AE440" s="121"/>
      <c r="AF440" s="121"/>
      <c r="AG440" s="121"/>
      <c r="AH440" s="121"/>
      <c r="AI440" s="121"/>
      <c r="AJ440" s="52">
        <f t="shared" si="120"/>
        <v>19594315</v>
      </c>
      <c r="AK440" s="124">
        <f>838100*0.3</f>
        <v>251430</v>
      </c>
      <c r="AL440" s="42">
        <v>44322</v>
      </c>
      <c r="AM440" s="125">
        <v>561</v>
      </c>
      <c r="AN440" s="54">
        <f>1976*2550</f>
        <v>5038800</v>
      </c>
      <c r="AO440" s="125">
        <f t="shared" si="109"/>
        <v>1514700</v>
      </c>
      <c r="AP440" s="124">
        <f>500000</f>
        <v>500000</v>
      </c>
      <c r="AQ440" s="101">
        <v>46664628377728</v>
      </c>
      <c r="AR440" s="101">
        <v>294791608000</v>
      </c>
      <c r="AS440" s="101">
        <v>217652075000</v>
      </c>
      <c r="AT440" s="101">
        <v>269150160000</v>
      </c>
      <c r="AU440" s="55">
        <v>40803728</v>
      </c>
      <c r="AV440" s="99">
        <v>5339569901.6000004</v>
      </c>
      <c r="AX440" s="74">
        <f t="shared" si="126"/>
        <v>5.7677553503985351E-3</v>
      </c>
    </row>
    <row r="441" spans="1:53" ht="15">
      <c r="A441" s="41">
        <v>44323</v>
      </c>
      <c r="B441" s="65">
        <v>42736726000</v>
      </c>
      <c r="C441" s="65"/>
      <c r="D441" s="65"/>
      <c r="E441" s="65"/>
      <c r="F441" s="65">
        <f t="shared" ref="F441:F445" si="128">SUM(B441:E441)</f>
        <v>42736726000</v>
      </c>
      <c r="G441" s="65">
        <f t="shared" si="121"/>
        <v>11538916</v>
      </c>
      <c r="H441" s="58">
        <f t="shared" si="115"/>
        <v>4523768000</v>
      </c>
      <c r="I441" s="58">
        <v>13436800000</v>
      </c>
      <c r="J441" s="58">
        <v>17960568000</v>
      </c>
      <c r="K441" s="58"/>
      <c r="L441" s="58">
        <f t="shared" si="116"/>
        <v>851193000</v>
      </c>
      <c r="M441" s="58"/>
      <c r="N441" s="58">
        <v>851193000</v>
      </c>
      <c r="O441" s="58">
        <f t="shared" si="117"/>
        <v>1067254000</v>
      </c>
      <c r="P441" s="58">
        <v>1836000000</v>
      </c>
      <c r="Q441" s="58">
        <v>2903254000</v>
      </c>
      <c r="R441" s="58">
        <f t="shared" si="125"/>
        <v>824505000</v>
      </c>
      <c r="S441" s="58"/>
      <c r="T441" s="58">
        <v>824505000</v>
      </c>
      <c r="U441" s="58">
        <f t="shared" si="108"/>
        <v>3351000</v>
      </c>
      <c r="V441" s="58"/>
      <c r="W441" s="58">
        <v>3351000</v>
      </c>
      <c r="X441" s="122"/>
      <c r="Y441" s="122"/>
      <c r="Z441" s="122"/>
      <c r="AA441" s="122"/>
      <c r="AB441" s="122"/>
      <c r="AC441" s="122"/>
      <c r="AD441" s="122"/>
      <c r="AE441" s="122"/>
      <c r="AF441" s="122"/>
      <c r="AG441" s="122"/>
      <c r="AH441" s="122"/>
      <c r="AI441" s="122"/>
      <c r="AJ441" s="52">
        <f t="shared" si="120"/>
        <v>3534272</v>
      </c>
      <c r="AK441" s="66">
        <f>896500*0.3</f>
        <v>268950</v>
      </c>
      <c r="AL441" s="42">
        <v>44323</v>
      </c>
      <c r="AM441" s="116">
        <v>438</v>
      </c>
      <c r="AN441" s="42">
        <f>1834*2550*3</f>
        <v>14030100</v>
      </c>
      <c r="AO441" s="126">
        <f t="shared" si="109"/>
        <v>1182600</v>
      </c>
      <c r="AP441" s="135">
        <v>500000</v>
      </c>
      <c r="AQ441" s="102">
        <v>52300361371520</v>
      </c>
      <c r="AR441" s="102">
        <v>459410670000</v>
      </c>
      <c r="AS441" s="102">
        <v>46393823000</v>
      </c>
      <c r="AT441" s="102">
        <v>89130549000</v>
      </c>
      <c r="AU441" s="55">
        <v>31054838</v>
      </c>
      <c r="AV441" s="99">
        <v>5370624739.6000004</v>
      </c>
      <c r="AX441" s="74">
        <f t="shared" ref="AX441:AX449" si="129">AT441/AQ441</f>
        <v>1.7042052227297948E-3</v>
      </c>
    </row>
    <row r="442" spans="1:53" ht="15">
      <c r="A442" s="28">
        <v>44326</v>
      </c>
      <c r="B442" s="56">
        <v>19100350000</v>
      </c>
      <c r="C442" s="56">
        <v>4919895000</v>
      </c>
      <c r="D442" s="56"/>
      <c r="E442" s="56"/>
      <c r="F442" s="65">
        <f t="shared" si="128"/>
        <v>24020245000</v>
      </c>
      <c r="G442" s="65">
        <f t="shared" si="121"/>
        <v>6485466</v>
      </c>
      <c r="H442" s="58">
        <f t="shared" si="115"/>
        <v>5559002000</v>
      </c>
      <c r="I442" s="57">
        <v>9088390000</v>
      </c>
      <c r="J442" s="57">
        <v>14647392000</v>
      </c>
      <c r="K442" s="57"/>
      <c r="L442" s="58">
        <f t="shared" si="116"/>
        <v>26919000</v>
      </c>
      <c r="M442" s="57">
        <v>13296000000</v>
      </c>
      <c r="N442" s="57">
        <v>13322919000</v>
      </c>
      <c r="O442" s="58">
        <f t="shared" si="117"/>
        <v>102993000</v>
      </c>
      <c r="P442" s="57">
        <v>3702000000</v>
      </c>
      <c r="Q442" s="57">
        <v>3804993000</v>
      </c>
      <c r="R442" s="57">
        <f t="shared" si="125"/>
        <v>550016000</v>
      </c>
      <c r="S442" s="57"/>
      <c r="T442" s="57">
        <v>550016000</v>
      </c>
      <c r="U442" s="57">
        <f t="shared" si="108"/>
        <v>10034000</v>
      </c>
      <c r="V442" s="57"/>
      <c r="W442" s="57">
        <v>10034000</v>
      </c>
      <c r="X442" s="121"/>
      <c r="Y442" s="121"/>
      <c r="Z442" s="121"/>
      <c r="AA442" s="121"/>
      <c r="AB442" s="121"/>
      <c r="AC442" s="121"/>
      <c r="AD442" s="121"/>
      <c r="AE442" s="121"/>
      <c r="AF442" s="121"/>
      <c r="AG442" s="121"/>
      <c r="AH442" s="121"/>
      <c r="AI442" s="121"/>
      <c r="AJ442" s="52">
        <f t="shared" si="120"/>
        <v>5370438</v>
      </c>
      <c r="AK442" s="59">
        <f>771700*0.3</f>
        <v>231510</v>
      </c>
      <c r="AL442" s="42">
        <v>44326</v>
      </c>
      <c r="AM442" s="60">
        <v>244</v>
      </c>
      <c r="AN442" s="34">
        <f>1762*2550</f>
        <v>4493100</v>
      </c>
      <c r="AO442" s="125">
        <f t="shared" si="109"/>
        <v>658800</v>
      </c>
      <c r="AP442" s="59">
        <v>500000</v>
      </c>
      <c r="AQ442" s="100">
        <v>52892324524628</v>
      </c>
      <c r="AR442" s="100">
        <v>228912514000</v>
      </c>
      <c r="AS442" s="100">
        <v>75871443000</v>
      </c>
      <c r="AT442" s="100">
        <v>99891688000</v>
      </c>
      <c r="AU442" s="55">
        <v>17739314</v>
      </c>
      <c r="AV442" s="99">
        <v>5388364053.6000004</v>
      </c>
      <c r="AX442" s="74">
        <f t="shared" si="129"/>
        <v>1.8885857049729003E-3</v>
      </c>
    </row>
    <row r="443" spans="1:53" ht="15">
      <c r="A443" s="28">
        <v>44327</v>
      </c>
      <c r="B443" s="56">
        <v>47266965000</v>
      </c>
      <c r="C443" s="56">
        <v>9556430000</v>
      </c>
      <c r="D443" s="56"/>
      <c r="E443" s="56"/>
      <c r="F443" s="65">
        <f t="shared" si="128"/>
        <v>56823395000</v>
      </c>
      <c r="G443" s="65">
        <f t="shared" si="121"/>
        <v>15342317</v>
      </c>
      <c r="H443" s="58">
        <f t="shared" si="115"/>
        <v>14423946000</v>
      </c>
      <c r="I443" s="57">
        <v>26066500000</v>
      </c>
      <c r="J443" s="57">
        <v>40490446000</v>
      </c>
      <c r="K443" s="57"/>
      <c r="L443" s="58">
        <f t="shared" si="116"/>
        <v>2207161000</v>
      </c>
      <c r="M443" s="57"/>
      <c r="N443" s="57">
        <v>2207161000</v>
      </c>
      <c r="O443" s="58">
        <f t="shared" si="117"/>
        <v>11429000</v>
      </c>
      <c r="P443" s="57"/>
      <c r="Q443" s="57">
        <v>11429000</v>
      </c>
      <c r="R443" s="57">
        <f t="shared" si="125"/>
        <v>563927000</v>
      </c>
      <c r="S443" s="57"/>
      <c r="T443" s="57">
        <v>563927000</v>
      </c>
      <c r="U443" s="57">
        <f t="shared" si="108"/>
        <v>8547000</v>
      </c>
      <c r="V443" s="57"/>
      <c r="W443" s="57">
        <v>8547000</v>
      </c>
      <c r="X443" s="121"/>
      <c r="Y443" s="121"/>
      <c r="Z443" s="121"/>
      <c r="AA443" s="121"/>
      <c r="AB443" s="121"/>
      <c r="AC443" s="121"/>
      <c r="AD443" s="121"/>
      <c r="AE443" s="121"/>
      <c r="AF443" s="121"/>
      <c r="AG443" s="121"/>
      <c r="AH443" s="121"/>
      <c r="AI443" s="121"/>
      <c r="AJ443" s="52">
        <f t="shared" si="120"/>
        <v>6551191</v>
      </c>
      <c r="AK443" s="59">
        <f>(577800*0.3)+300000</f>
        <v>473340</v>
      </c>
      <c r="AL443" s="42">
        <v>44327</v>
      </c>
      <c r="AM443" s="60">
        <v>569</v>
      </c>
      <c r="AN443" s="34">
        <f>1505*2550</f>
        <v>3837750</v>
      </c>
      <c r="AO443" s="125">
        <f t="shared" si="109"/>
        <v>1536300</v>
      </c>
      <c r="AP443" s="66">
        <v>17308500</v>
      </c>
      <c r="AQ443" s="100">
        <v>51849788081754</v>
      </c>
      <c r="AR443" s="100">
        <v>171059528000</v>
      </c>
      <c r="AS443" s="100">
        <v>45238638000</v>
      </c>
      <c r="AT443" s="100">
        <v>102062033000</v>
      </c>
      <c r="AU443" s="55">
        <v>45049398</v>
      </c>
      <c r="AV443" s="99">
        <v>5433413451.6000004</v>
      </c>
      <c r="AX443" s="74">
        <f t="shared" si="129"/>
        <v>1.9684175533962451E-3</v>
      </c>
    </row>
    <row r="444" spans="1:53" ht="15">
      <c r="A444" s="28">
        <v>44328</v>
      </c>
      <c r="B444" s="56">
        <v>48184325000</v>
      </c>
      <c r="C444" s="56">
        <v>1652800000</v>
      </c>
      <c r="D444" s="56">
        <v>2662915000</v>
      </c>
      <c r="E444" s="56"/>
      <c r="F444" s="65">
        <f t="shared" si="128"/>
        <v>52500040000</v>
      </c>
      <c r="G444" s="65">
        <f t="shared" si="121"/>
        <v>14175011</v>
      </c>
      <c r="H444" s="58">
        <f t="shared" si="115"/>
        <v>6130730000</v>
      </c>
      <c r="I444" s="57">
        <v>4553000000</v>
      </c>
      <c r="J444" s="57">
        <v>10683730000</v>
      </c>
      <c r="K444" s="57"/>
      <c r="L444" s="58">
        <f t="shared" si="116"/>
        <v>166480000</v>
      </c>
      <c r="M444" s="57"/>
      <c r="N444" s="57">
        <v>166480000</v>
      </c>
      <c r="O444" s="58">
        <f t="shared" si="117"/>
        <v>9447000</v>
      </c>
      <c r="P444" s="57">
        <v>9417500000</v>
      </c>
      <c r="Q444" s="57">
        <v>9426947000</v>
      </c>
      <c r="R444" s="57">
        <f t="shared" si="125"/>
        <v>619359000</v>
      </c>
      <c r="S444" s="57"/>
      <c r="T444" s="57">
        <v>619359000</v>
      </c>
      <c r="U444" s="57">
        <f t="shared" si="108"/>
        <v>1766316000</v>
      </c>
      <c r="V444" s="57">
        <v>6795600000</v>
      </c>
      <c r="W444" s="57">
        <v>8561916000</v>
      </c>
      <c r="X444" s="121"/>
      <c r="Y444" s="121"/>
      <c r="Z444" s="121"/>
      <c r="AA444" s="121"/>
      <c r="AB444" s="121"/>
      <c r="AC444" s="121"/>
      <c r="AD444" s="121"/>
      <c r="AE444" s="121"/>
      <c r="AF444" s="121"/>
      <c r="AG444" s="121"/>
      <c r="AH444" s="121"/>
      <c r="AI444" s="121"/>
      <c r="AJ444" s="52">
        <f t="shared" si="120"/>
        <v>4676670</v>
      </c>
      <c r="AK444" s="59">
        <f>1206200*0.3</f>
        <v>361860</v>
      </c>
      <c r="AL444" s="42">
        <v>44328</v>
      </c>
      <c r="AM444" s="60">
        <v>518</v>
      </c>
      <c r="AN444" s="34">
        <f>1641*2550</f>
        <v>4184550</v>
      </c>
      <c r="AO444" s="125">
        <f t="shared" si="109"/>
        <v>1398600</v>
      </c>
      <c r="AP444" s="59">
        <v>600000</v>
      </c>
      <c r="AQ444" s="100">
        <v>47711994376656</v>
      </c>
      <c r="AR444" s="100">
        <v>215995744000</v>
      </c>
      <c r="AS444" s="100">
        <v>87511368000</v>
      </c>
      <c r="AT444" s="100">
        <v>140011408000</v>
      </c>
      <c r="AU444" s="55">
        <v>25396691</v>
      </c>
      <c r="AV444" s="99">
        <v>5458810142.6000004</v>
      </c>
      <c r="AX444" s="74">
        <f t="shared" si="129"/>
        <v>2.9345117476058231E-3</v>
      </c>
    </row>
    <row r="445" spans="1:53" ht="15">
      <c r="A445" s="50">
        <v>44329</v>
      </c>
      <c r="B445" s="118">
        <v>26173805000</v>
      </c>
      <c r="C445" s="118">
        <v>4838155000</v>
      </c>
      <c r="D445" s="118">
        <v>1012830000</v>
      </c>
      <c r="E445" s="118"/>
      <c r="F445" s="120">
        <f t="shared" si="128"/>
        <v>32024790000</v>
      </c>
      <c r="G445" s="120">
        <f t="shared" si="121"/>
        <v>8646693</v>
      </c>
      <c r="H445" s="122">
        <f t="shared" si="115"/>
        <v>2670005000</v>
      </c>
      <c r="I445" s="121">
        <v>23139000000</v>
      </c>
      <c r="J445" s="121">
        <v>25809005000</v>
      </c>
      <c r="K445" s="121"/>
      <c r="L445" s="122">
        <f t="shared" si="116"/>
        <v>1067466000</v>
      </c>
      <c r="M445" s="121"/>
      <c r="N445" s="121">
        <v>1067466000</v>
      </c>
      <c r="O445" s="122">
        <f t="shared" si="117"/>
        <v>21427000</v>
      </c>
      <c r="P445" s="121"/>
      <c r="Q445" s="121">
        <v>21427000</v>
      </c>
      <c r="R445" s="121">
        <f t="shared" si="125"/>
        <v>681376000</v>
      </c>
      <c r="S445" s="121"/>
      <c r="T445" s="121">
        <v>681376000</v>
      </c>
      <c r="U445" s="121">
        <f t="shared" si="108"/>
        <v>1714000</v>
      </c>
      <c r="V445" s="121"/>
      <c r="W445" s="121">
        <v>1714000</v>
      </c>
      <c r="X445" s="121"/>
      <c r="Y445" s="121"/>
      <c r="Z445" s="121"/>
      <c r="AA445" s="121"/>
      <c r="AB445" s="121"/>
      <c r="AC445" s="121"/>
      <c r="AD445" s="121"/>
      <c r="AE445" s="121"/>
      <c r="AF445" s="121"/>
      <c r="AG445" s="121"/>
      <c r="AH445" s="121"/>
      <c r="AI445" s="121"/>
      <c r="AJ445" s="52">
        <f t="shared" si="120"/>
        <v>4644755</v>
      </c>
      <c r="AK445" s="124">
        <f>357800*0.3</f>
        <v>107340</v>
      </c>
      <c r="AL445" s="127">
        <v>44329</v>
      </c>
      <c r="AM445" s="125">
        <v>388</v>
      </c>
      <c r="AN445" s="54">
        <f>1683*2550</f>
        <v>4291650</v>
      </c>
      <c r="AO445" s="125">
        <f t="shared" si="109"/>
        <v>1047600</v>
      </c>
      <c r="AP445" s="124">
        <v>500000</v>
      </c>
      <c r="AQ445" s="101">
        <v>50645656603732</v>
      </c>
      <c r="AR445" s="101">
        <v>160582992000</v>
      </c>
      <c r="AS445" s="101">
        <v>56009091000</v>
      </c>
      <c r="AT445" s="101">
        <v>88033881000</v>
      </c>
      <c r="AU445" s="55">
        <v>19238038</v>
      </c>
      <c r="AV445" s="99">
        <v>5478048180.6000004</v>
      </c>
      <c r="AX445" s="74">
        <f t="shared" si="129"/>
        <v>1.7382316056992915E-3</v>
      </c>
      <c r="BA445" s="74"/>
    </row>
    <row r="446" spans="1:53" ht="15">
      <c r="A446" s="41">
        <v>44330</v>
      </c>
      <c r="B446" s="65">
        <v>15898790000</v>
      </c>
      <c r="C446" s="65"/>
      <c r="D446" s="65">
        <v>334100000</v>
      </c>
      <c r="E446" s="65"/>
      <c r="F446" s="65">
        <f t="shared" ref="F446:F450" si="130">SUM(B446:E446)</f>
        <v>16232890000</v>
      </c>
      <c r="G446" s="65">
        <f t="shared" si="121"/>
        <v>4382880</v>
      </c>
      <c r="H446" s="58">
        <f>J446-I446</f>
        <v>17658723000</v>
      </c>
      <c r="I446" s="58">
        <v>4636000000</v>
      </c>
      <c r="J446" s="58">
        <v>22294723000</v>
      </c>
      <c r="K446" s="58"/>
      <c r="L446" s="58">
        <f t="shared" si="116"/>
        <v>911700000</v>
      </c>
      <c r="M446" s="58"/>
      <c r="N446" s="58">
        <v>911700000</v>
      </c>
      <c r="O446" s="58">
        <f t="shared" si="117"/>
        <v>56728000</v>
      </c>
      <c r="P446" s="58"/>
      <c r="Q446" s="58">
        <v>56728000</v>
      </c>
      <c r="R446" s="58">
        <f t="shared" si="125"/>
        <v>733947000</v>
      </c>
      <c r="S446" s="58"/>
      <c r="T446" s="58">
        <v>733947000</v>
      </c>
      <c r="U446" s="58">
        <f t="shared" si="108"/>
        <v>863439000</v>
      </c>
      <c r="V446" s="58"/>
      <c r="W446" s="58">
        <v>863439000</v>
      </c>
      <c r="X446" s="122"/>
      <c r="Y446" s="122"/>
      <c r="Z446" s="122"/>
      <c r="AA446" s="122"/>
      <c r="AB446" s="122"/>
      <c r="AC446" s="122"/>
      <c r="AD446" s="122"/>
      <c r="AE446" s="122"/>
      <c r="AF446" s="122"/>
      <c r="AG446" s="122"/>
      <c r="AH446" s="122"/>
      <c r="AI446" s="122"/>
      <c r="AJ446" s="52">
        <f t="shared" si="120"/>
        <v>3018730</v>
      </c>
      <c r="AK446" s="66">
        <f>389500*0.3</f>
        <v>116850</v>
      </c>
      <c r="AL446" s="127">
        <v>44330</v>
      </c>
      <c r="AM446" s="116">
        <v>281</v>
      </c>
      <c r="AN446" s="42">
        <f>1834*2550*3</f>
        <v>14030100</v>
      </c>
      <c r="AO446" s="126">
        <f t="shared" si="109"/>
        <v>758700</v>
      </c>
      <c r="AP446" s="66">
        <v>800000</v>
      </c>
      <c r="AQ446" s="102">
        <v>53183526948356</v>
      </c>
      <c r="AR446" s="102">
        <v>130884222000</v>
      </c>
      <c r="AS446" s="102">
        <v>34905666000</v>
      </c>
      <c r="AT446" s="102">
        <v>51138556000</v>
      </c>
      <c r="AU446" s="55">
        <v>23107260</v>
      </c>
      <c r="AV446" s="99">
        <v>5501155440.6000004</v>
      </c>
      <c r="AX446" s="74">
        <f t="shared" si="129"/>
        <v>9.6154879027970876E-4</v>
      </c>
    </row>
    <row r="447" spans="1:53" ht="15">
      <c r="A447" s="28">
        <v>44333</v>
      </c>
      <c r="B447" s="56">
        <v>44787420000</v>
      </c>
      <c r="C447" s="56">
        <v>5964025000</v>
      </c>
      <c r="D447" s="56"/>
      <c r="E447" s="56"/>
      <c r="F447" s="65">
        <f t="shared" si="130"/>
        <v>50751445000</v>
      </c>
      <c r="G447" s="65">
        <f t="shared" si="121"/>
        <v>13702890</v>
      </c>
      <c r="H447" s="58">
        <f>J447-I447</f>
        <v>216983000</v>
      </c>
      <c r="I447" s="57">
        <v>6915000000</v>
      </c>
      <c r="J447" s="57">
        <v>7131983000</v>
      </c>
      <c r="K447" s="57"/>
      <c r="L447" s="58">
        <f t="shared" si="116"/>
        <v>2810402000</v>
      </c>
      <c r="M447" s="57"/>
      <c r="N447" s="57">
        <v>2810402000</v>
      </c>
      <c r="O447" s="58">
        <f t="shared" si="117"/>
        <v>1014301000</v>
      </c>
      <c r="P447" s="57"/>
      <c r="Q447" s="57">
        <v>1014301000</v>
      </c>
      <c r="R447" s="57">
        <f t="shared" si="125"/>
        <v>601180000</v>
      </c>
      <c r="S447" s="57"/>
      <c r="T447" s="57">
        <v>601180000</v>
      </c>
      <c r="U447" s="57">
        <f t="shared" si="108"/>
        <v>1071999000</v>
      </c>
      <c r="V447" s="57"/>
      <c r="W447" s="57">
        <v>1071999000</v>
      </c>
      <c r="X447" s="121"/>
      <c r="Y447" s="121"/>
      <c r="Z447" s="121"/>
      <c r="AA447" s="121"/>
      <c r="AB447" s="121"/>
      <c r="AC447" s="121"/>
      <c r="AD447" s="121"/>
      <c r="AE447" s="121"/>
      <c r="AF447" s="121"/>
      <c r="AG447" s="121"/>
      <c r="AH447" s="121"/>
      <c r="AI447" s="121"/>
      <c r="AJ447" s="52">
        <f t="shared" si="120"/>
        <v>1861905</v>
      </c>
      <c r="AK447" s="59">
        <f>1015800*0.3</f>
        <v>304740</v>
      </c>
      <c r="AL447" s="34">
        <f>A447</f>
        <v>44333</v>
      </c>
      <c r="AM447" s="60">
        <v>432</v>
      </c>
      <c r="AN447" s="34">
        <f>1444*2550</f>
        <v>3682200</v>
      </c>
      <c r="AO447" s="125">
        <f t="shared" si="109"/>
        <v>1166400</v>
      </c>
      <c r="AP447" s="59">
        <v>600000</v>
      </c>
      <c r="AQ447" s="100">
        <v>56439834553840</v>
      </c>
      <c r="AR447" s="100">
        <v>93576572000</v>
      </c>
      <c r="AS447" s="100">
        <v>14197824000</v>
      </c>
      <c r="AT447" s="100">
        <v>64949269000</v>
      </c>
      <c r="AU447" s="55">
        <v>21318135</v>
      </c>
      <c r="AV447" s="99">
        <v>5522473575.6000004</v>
      </c>
      <c r="AX447" s="74">
        <f t="shared" si="129"/>
        <v>1.1507700104620708E-3</v>
      </c>
    </row>
    <row r="448" spans="1:53" ht="15">
      <c r="A448" s="28">
        <v>44334</v>
      </c>
      <c r="B448" s="56">
        <v>24773880000</v>
      </c>
      <c r="C448" s="56">
        <v>6685675000</v>
      </c>
      <c r="D448" s="56">
        <f>1066975000+1638950000</f>
        <v>2705925000</v>
      </c>
      <c r="E448" s="56">
        <v>391375000</v>
      </c>
      <c r="F448" s="65">
        <f t="shared" si="130"/>
        <v>34556855000</v>
      </c>
      <c r="G448" s="65">
        <f t="shared" si="121"/>
        <v>9330351</v>
      </c>
      <c r="H448" s="58">
        <f>J448-I448</f>
        <v>1428249000</v>
      </c>
      <c r="I448" s="57"/>
      <c r="J448" s="57">
        <v>1428249000</v>
      </c>
      <c r="K448" s="57"/>
      <c r="L448" s="58">
        <f t="shared" si="116"/>
        <v>4037893000</v>
      </c>
      <c r="M448" s="57"/>
      <c r="N448" s="57">
        <v>4037893000</v>
      </c>
      <c r="O448" s="58">
        <f t="shared" si="117"/>
        <v>1137389000</v>
      </c>
      <c r="P448" s="57"/>
      <c r="Q448" s="57">
        <v>1137389000</v>
      </c>
      <c r="R448" s="57">
        <f t="shared" si="125"/>
        <v>573200000</v>
      </c>
      <c r="S448" s="57"/>
      <c r="T448" s="57">
        <v>573200000</v>
      </c>
      <c r="U448" s="57">
        <f t="shared" si="108"/>
        <v>148796000</v>
      </c>
      <c r="V448" s="57"/>
      <c r="W448" s="57">
        <v>148796000</v>
      </c>
      <c r="X448" s="121"/>
      <c r="Y448" s="121"/>
      <c r="Z448" s="121"/>
      <c r="AA448" s="121"/>
      <c r="AB448" s="121"/>
      <c r="AC448" s="121"/>
      <c r="AD448" s="121"/>
      <c r="AE448" s="121"/>
      <c r="AF448" s="121"/>
      <c r="AG448" s="121"/>
      <c r="AH448" s="121"/>
      <c r="AI448" s="121"/>
      <c r="AJ448" s="52">
        <f t="shared" si="120"/>
        <v>791157</v>
      </c>
      <c r="AK448" s="59">
        <f>721800*0.3</f>
        <v>216540</v>
      </c>
      <c r="AL448" s="34">
        <f>A448</f>
        <v>44334</v>
      </c>
      <c r="AM448" s="60">
        <v>289</v>
      </c>
      <c r="AN448" s="34">
        <f>1225*2550</f>
        <v>3123750</v>
      </c>
      <c r="AO448" s="125">
        <f t="shared" si="109"/>
        <v>780300</v>
      </c>
      <c r="AP448" s="59">
        <v>0</v>
      </c>
      <c r="AQ448" s="100">
        <v>49033074633920</v>
      </c>
      <c r="AR448" s="100">
        <v>80148112000</v>
      </c>
      <c r="AS448" s="100">
        <v>11244417000</v>
      </c>
      <c r="AT448" s="100">
        <v>45801272000</v>
      </c>
      <c r="AU448" s="55">
        <v>14242098</v>
      </c>
      <c r="AV448" s="99">
        <v>5536715673.6000004</v>
      </c>
      <c r="AX448" s="74">
        <f t="shared" si="129"/>
        <v>9.3408933341324041E-4</v>
      </c>
    </row>
    <row r="449" spans="1:59" ht="15">
      <c r="A449" s="28">
        <v>44335</v>
      </c>
      <c r="B449" s="56">
        <v>18366585000</v>
      </c>
      <c r="C449" s="56"/>
      <c r="D449" s="56"/>
      <c r="E449" s="56"/>
      <c r="F449" s="65">
        <f t="shared" si="130"/>
        <v>18366585000</v>
      </c>
      <c r="G449" s="65">
        <f t="shared" si="121"/>
        <v>4958978</v>
      </c>
      <c r="H449" s="58">
        <f>J449-I449</f>
        <v>2332647000</v>
      </c>
      <c r="I449" s="57"/>
      <c r="J449" s="57">
        <v>2332647000</v>
      </c>
      <c r="K449" s="57"/>
      <c r="L449" s="58">
        <f t="shared" si="116"/>
        <v>1115577000</v>
      </c>
      <c r="M449" s="57"/>
      <c r="N449" s="57">
        <v>1115577000</v>
      </c>
      <c r="O449" s="58">
        <f t="shared" si="117"/>
        <v>1375668000</v>
      </c>
      <c r="P449" s="57"/>
      <c r="Q449" s="57">
        <v>1375668000</v>
      </c>
      <c r="R449" s="57">
        <f t="shared" si="125"/>
        <v>710041000</v>
      </c>
      <c r="S449" s="57"/>
      <c r="T449" s="57">
        <v>710041000</v>
      </c>
      <c r="U449" s="57">
        <f t="shared" si="108"/>
        <v>17316000</v>
      </c>
      <c r="V449" s="57"/>
      <c r="W449" s="57">
        <v>17316000</v>
      </c>
      <c r="X449" s="121"/>
      <c r="Y449" s="121"/>
      <c r="Z449" s="121"/>
      <c r="AA449" s="121"/>
      <c r="AB449" s="121"/>
      <c r="AC449" s="121"/>
      <c r="AD449" s="121"/>
      <c r="AE449" s="121"/>
      <c r="AF449" s="121"/>
      <c r="AG449" s="121"/>
      <c r="AH449" s="121"/>
      <c r="AI449" s="121"/>
      <c r="AJ449" s="52">
        <f t="shared" si="120"/>
        <v>599535</v>
      </c>
      <c r="AK449" s="59">
        <f>620100*0.3</f>
        <v>186030</v>
      </c>
      <c r="AL449" s="34">
        <f>A449</f>
        <v>44335</v>
      </c>
      <c r="AM449" s="60">
        <v>320</v>
      </c>
      <c r="AN449" s="34">
        <f>1065*2550</f>
        <v>2715750</v>
      </c>
      <c r="AO449" s="125">
        <f t="shared" si="109"/>
        <v>864000</v>
      </c>
      <c r="AP449" s="59">
        <v>500000</v>
      </c>
      <c r="AQ449" s="100">
        <v>50301141335116</v>
      </c>
      <c r="AR449" s="100">
        <v>78294438000</v>
      </c>
      <c r="AS449" s="100">
        <v>6079201000</v>
      </c>
      <c r="AT449" s="100">
        <v>24445786000</v>
      </c>
      <c r="AU449" s="55">
        <v>9824293</v>
      </c>
      <c r="AV449" s="99">
        <v>5546539966.6000004</v>
      </c>
      <c r="AX449" s="74">
        <f t="shared" si="129"/>
        <v>4.8598869431485487E-4</v>
      </c>
      <c r="AY449" s="73"/>
    </row>
    <row r="450" spans="1:59" ht="15">
      <c r="A450" s="50">
        <v>44336</v>
      </c>
      <c r="B450" s="118">
        <v>21996965000</v>
      </c>
      <c r="C450" s="118">
        <v>8499120000</v>
      </c>
      <c r="D450" s="118"/>
      <c r="E450" s="118"/>
      <c r="F450" s="120">
        <f t="shared" si="130"/>
        <v>30496085000</v>
      </c>
      <c r="G450" s="120">
        <f t="shared" si="121"/>
        <v>8233943</v>
      </c>
      <c r="H450" s="122">
        <f>J450-I450</f>
        <v>202790000</v>
      </c>
      <c r="I450" s="121">
        <v>18780000000</v>
      </c>
      <c r="J450" s="121">
        <v>18982790000</v>
      </c>
      <c r="K450" s="121"/>
      <c r="L450" s="122">
        <f t="shared" si="116"/>
        <v>8383692000</v>
      </c>
      <c r="M450" s="121">
        <v>42253200000</v>
      </c>
      <c r="N450" s="121">
        <v>50636892000</v>
      </c>
      <c r="O450" s="122">
        <f t="shared" si="117"/>
        <v>10135612000</v>
      </c>
      <c r="P450" s="121"/>
      <c r="Q450" s="121">
        <v>10135612000</v>
      </c>
      <c r="R450" s="121">
        <f t="shared" si="125"/>
        <v>595101000</v>
      </c>
      <c r="S450" s="121"/>
      <c r="T450" s="121">
        <v>595101000</v>
      </c>
      <c r="U450" s="121">
        <f t="shared" si="108"/>
        <v>543711000</v>
      </c>
      <c r="V450" s="121"/>
      <c r="W450" s="121">
        <v>543711000</v>
      </c>
      <c r="X450" s="121"/>
      <c r="Y450" s="121"/>
      <c r="Z450" s="121"/>
      <c r="AA450" s="121"/>
      <c r="AB450" s="121"/>
      <c r="AC450" s="121"/>
      <c r="AD450" s="121"/>
      <c r="AE450" s="121"/>
      <c r="AF450" s="121"/>
      <c r="AG450" s="121"/>
      <c r="AH450" s="121"/>
      <c r="AI450" s="121"/>
      <c r="AJ450" s="52">
        <f t="shared" si="120"/>
        <v>13130954</v>
      </c>
      <c r="AK450" s="124">
        <f>1225900*0.3</f>
        <v>367770</v>
      </c>
      <c r="AL450" s="54">
        <f>A450</f>
        <v>44336</v>
      </c>
      <c r="AM450" s="125">
        <v>903</v>
      </c>
      <c r="AN450" s="54">
        <f>719*2550+359*2550</f>
        <v>2748900</v>
      </c>
      <c r="AO450" s="125">
        <f t="shared" si="109"/>
        <v>2438100</v>
      </c>
      <c r="AP450" s="124">
        <v>600000</v>
      </c>
      <c r="AQ450" s="101">
        <v>52641974420696</v>
      </c>
      <c r="AR450" s="101">
        <v>230731414000</v>
      </c>
      <c r="AS450" s="101">
        <v>147720970000</v>
      </c>
      <c r="AT450" s="101">
        <v>178217055000</v>
      </c>
      <c r="AU450" s="55">
        <v>27519667</v>
      </c>
      <c r="AV450" s="99">
        <v>5574059633.6000004</v>
      </c>
      <c r="AX450" s="74">
        <f t="shared" ref="AX450:AX479" si="131">AT450/AQ450</f>
        <v>3.385455370190952E-3</v>
      </c>
      <c r="AY450" s="73"/>
      <c r="AZ450" s="73"/>
      <c r="BA450" s="73"/>
      <c r="BC450" s="74"/>
    </row>
    <row r="451" spans="1:59" ht="15">
      <c r="A451" s="47">
        <v>44337</v>
      </c>
      <c r="B451" s="65">
        <v>35524904000</v>
      </c>
      <c r="C451" s="65"/>
      <c r="D451" s="65"/>
      <c r="E451" s="65"/>
      <c r="F451" s="65">
        <v>35524904000</v>
      </c>
      <c r="G451" s="65">
        <v>9591724</v>
      </c>
      <c r="H451" s="58">
        <v>2905359000</v>
      </c>
      <c r="I451" s="58">
        <v>9583000000</v>
      </c>
      <c r="J451" s="58">
        <v>12488359000</v>
      </c>
      <c r="K451" s="58"/>
      <c r="L451" s="58">
        <v>1890930000</v>
      </c>
      <c r="M451" s="58"/>
      <c r="N451" s="58">
        <v>1890930000</v>
      </c>
      <c r="O451" s="58">
        <v>966250000</v>
      </c>
      <c r="P451" s="58"/>
      <c r="Q451" s="58">
        <v>966250000</v>
      </c>
      <c r="R451" s="58">
        <v>629052000</v>
      </c>
      <c r="S451" s="58"/>
      <c r="T451" s="58">
        <v>629052000</v>
      </c>
      <c r="U451" s="58">
        <v>908505000</v>
      </c>
      <c r="V451" s="58"/>
      <c r="W451" s="58">
        <v>908505000</v>
      </c>
      <c r="X451" s="122"/>
      <c r="Y451" s="122"/>
      <c r="Z451" s="122"/>
      <c r="AA451" s="122"/>
      <c r="AB451" s="122"/>
      <c r="AC451" s="122"/>
      <c r="AD451" s="122"/>
      <c r="AE451" s="122"/>
      <c r="AF451" s="122"/>
      <c r="AG451" s="122"/>
      <c r="AH451" s="122"/>
      <c r="AI451" s="122"/>
      <c r="AJ451" s="52">
        <v>2513350</v>
      </c>
      <c r="AK451" s="66">
        <v>155610</v>
      </c>
      <c r="AL451" s="116">
        <v>44337</v>
      </c>
      <c r="AM451" s="116">
        <v>427</v>
      </c>
      <c r="AN451" s="42">
        <v>8384400</v>
      </c>
      <c r="AO451" s="126">
        <v>1152900</v>
      </c>
      <c r="AP451" s="66"/>
      <c r="AQ451" s="102">
        <v>56580840790960</v>
      </c>
      <c r="AR451" s="102">
        <v>68047952000</v>
      </c>
      <c r="AS451" s="102">
        <v>27884574000</v>
      </c>
      <c r="AT451" s="102">
        <v>63409478000</v>
      </c>
      <c r="AU451" s="55">
        <v>21797984</v>
      </c>
      <c r="AV451" s="99">
        <v>5595857617.6000004</v>
      </c>
      <c r="AX451" s="74">
        <f t="shared" si="131"/>
        <v>1.1206881536856028E-3</v>
      </c>
    </row>
    <row r="452" spans="1:59" ht="15">
      <c r="A452" s="49">
        <v>44340</v>
      </c>
      <c r="B452" s="56">
        <v>16007880000</v>
      </c>
      <c r="C452" s="56"/>
      <c r="D452" s="56"/>
      <c r="E452" s="56"/>
      <c r="F452" s="65">
        <v>16007880000</v>
      </c>
      <c r="G452" s="65">
        <v>4322128</v>
      </c>
      <c r="H452" s="58">
        <v>2599161000</v>
      </c>
      <c r="I452" s="57">
        <v>3587250000</v>
      </c>
      <c r="J452" s="57">
        <v>6186411000</v>
      </c>
      <c r="K452" s="57"/>
      <c r="L452" s="58">
        <v>758535000</v>
      </c>
      <c r="M452" s="57"/>
      <c r="N452" s="57">
        <v>758535000</v>
      </c>
      <c r="O452" s="58">
        <v>1525032000</v>
      </c>
      <c r="P452" s="57"/>
      <c r="Q452" s="57">
        <v>1525032000</v>
      </c>
      <c r="R452" s="57">
        <v>771230000</v>
      </c>
      <c r="S452" s="57"/>
      <c r="T452" s="57">
        <v>771230000</v>
      </c>
      <c r="U452" s="57">
        <v>277368000</v>
      </c>
      <c r="V452" s="57">
        <v>721740000</v>
      </c>
      <c r="W452" s="57">
        <v>999108000</v>
      </c>
      <c r="X452" s="121"/>
      <c r="Y452" s="121"/>
      <c r="Z452" s="121"/>
      <c r="AA452" s="121"/>
      <c r="AB452" s="121"/>
      <c r="AC452" s="121"/>
      <c r="AD452" s="121"/>
      <c r="AE452" s="121"/>
      <c r="AF452" s="121"/>
      <c r="AG452" s="121"/>
      <c r="AH452" s="121"/>
      <c r="AI452" s="121"/>
      <c r="AJ452" s="52">
        <v>1416201</v>
      </c>
      <c r="AK452" s="59">
        <v>126120</v>
      </c>
      <c r="AL452" s="60">
        <v>44340</v>
      </c>
      <c r="AM452" s="60">
        <v>167</v>
      </c>
      <c r="AN452" s="34">
        <v>3047250</v>
      </c>
      <c r="AO452" s="125">
        <v>450900</v>
      </c>
      <c r="AP452" s="59">
        <v>600000</v>
      </c>
      <c r="AQ452" s="100">
        <v>56771995253904</v>
      </c>
      <c r="AR452" s="100">
        <v>587614752000</v>
      </c>
      <c r="AS452" s="100">
        <v>15818782000</v>
      </c>
      <c r="AT452" s="100">
        <v>31826662000</v>
      </c>
      <c r="AU452" s="55">
        <v>9962599</v>
      </c>
      <c r="AV452" s="99">
        <v>5605820216.6000004</v>
      </c>
      <c r="AX452" s="74">
        <f t="shared" si="131"/>
        <v>5.6060495773770428E-4</v>
      </c>
    </row>
    <row r="453" spans="1:59" ht="15">
      <c r="A453" s="49">
        <v>44341</v>
      </c>
      <c r="B453" s="56">
        <v>16242720000</v>
      </c>
      <c r="C453" s="56"/>
      <c r="D453" s="56"/>
      <c r="E453" s="56"/>
      <c r="F453" s="65">
        <v>16242720000</v>
      </c>
      <c r="G453" s="65">
        <v>4385534</v>
      </c>
      <c r="H453" s="58">
        <v>3030758000</v>
      </c>
      <c r="I453" s="57">
        <v>16853000000</v>
      </c>
      <c r="J453" s="57">
        <v>19883758000</v>
      </c>
      <c r="K453" s="57"/>
      <c r="L453" s="58">
        <v>1968307000</v>
      </c>
      <c r="M453" s="57"/>
      <c r="N453" s="57">
        <v>1968307000</v>
      </c>
      <c r="O453" s="58">
        <v>196354000</v>
      </c>
      <c r="P453" s="57"/>
      <c r="Q453" s="57">
        <v>196354000</v>
      </c>
      <c r="R453" s="57">
        <v>667119000</v>
      </c>
      <c r="S453" s="57"/>
      <c r="T453" s="57">
        <v>667119000</v>
      </c>
      <c r="U453" s="57">
        <v>454492000</v>
      </c>
      <c r="V453" s="57"/>
      <c r="W453" s="57">
        <v>454492000</v>
      </c>
      <c r="X453" s="121"/>
      <c r="Y453" s="121"/>
      <c r="Z453" s="121"/>
      <c r="AA453" s="121"/>
      <c r="AB453" s="121"/>
      <c r="AC453" s="121"/>
      <c r="AD453" s="121"/>
      <c r="AE453" s="121"/>
      <c r="AF453" s="121"/>
      <c r="AG453" s="121"/>
      <c r="AH453" s="121"/>
      <c r="AI453" s="121"/>
      <c r="AJ453" s="52">
        <v>3715779</v>
      </c>
      <c r="AK453" s="59">
        <v>249570</v>
      </c>
      <c r="AL453" s="60">
        <v>44341</v>
      </c>
      <c r="AM453" s="60">
        <v>400</v>
      </c>
      <c r="AN453" s="34">
        <v>2858550</v>
      </c>
      <c r="AO453" s="125">
        <v>1080000</v>
      </c>
      <c r="AP453" s="59">
        <v>838168</v>
      </c>
      <c r="AQ453" s="100">
        <v>51397505400940</v>
      </c>
      <c r="AR453" s="100">
        <v>187356926000</v>
      </c>
      <c r="AS453" s="100">
        <v>23709730000</v>
      </c>
      <c r="AT453" s="100">
        <v>39952450000</v>
      </c>
      <c r="AU453" s="55">
        <v>13127601</v>
      </c>
      <c r="AV453" s="99">
        <v>5618947817.6000004</v>
      </c>
      <c r="AX453" s="74">
        <f t="shared" si="131"/>
        <v>7.7732274530330258E-4</v>
      </c>
      <c r="AY453" s="73"/>
      <c r="AZ453" s="73"/>
      <c r="BA453" s="73"/>
      <c r="BB453" s="73"/>
      <c r="BC453" s="74"/>
    </row>
    <row r="454" spans="1:59" ht="15">
      <c r="A454" s="49">
        <v>44342</v>
      </c>
      <c r="B454" s="56">
        <v>38902220000</v>
      </c>
      <c r="C454" s="56">
        <v>1550300000</v>
      </c>
      <c r="D454" s="56"/>
      <c r="E454" s="56"/>
      <c r="F454" s="65">
        <v>40452520000</v>
      </c>
      <c r="G454" s="65">
        <v>10922180</v>
      </c>
      <c r="H454" s="58">
        <v>1116198000</v>
      </c>
      <c r="I454" s="136"/>
      <c r="J454" s="57">
        <v>1116198000</v>
      </c>
      <c r="K454" s="57"/>
      <c r="L454" s="58">
        <v>667867000</v>
      </c>
      <c r="M454" s="57"/>
      <c r="N454" s="57">
        <v>667867000</v>
      </c>
      <c r="O454" s="58">
        <v>920652000</v>
      </c>
      <c r="P454" s="57"/>
      <c r="Q454" s="57">
        <v>920652000</v>
      </c>
      <c r="R454" s="57">
        <v>623219000</v>
      </c>
      <c r="S454" s="57"/>
      <c r="T454" s="57">
        <v>623219000</v>
      </c>
      <c r="U454" s="57">
        <v>331328000</v>
      </c>
      <c r="V454" s="57">
        <v>9640960000</v>
      </c>
      <c r="W454" s="57">
        <v>9972288000</v>
      </c>
      <c r="X454" s="121"/>
      <c r="Y454" s="121"/>
      <c r="Z454" s="121"/>
      <c r="AA454" s="121"/>
      <c r="AB454" s="121"/>
      <c r="AC454" s="121"/>
      <c r="AD454" s="121"/>
      <c r="AE454" s="121"/>
      <c r="AF454" s="121"/>
      <c r="AG454" s="121"/>
      <c r="AH454" s="121"/>
      <c r="AI454" s="121"/>
      <c r="AJ454" s="52">
        <v>2130573</v>
      </c>
      <c r="AK454" s="59">
        <v>137370</v>
      </c>
      <c r="AL454" s="60">
        <v>44342</v>
      </c>
      <c r="AM454" s="60">
        <v>241</v>
      </c>
      <c r="AN454" s="34">
        <v>3029400</v>
      </c>
      <c r="AO454" s="125">
        <v>650700</v>
      </c>
      <c r="AP454" s="59">
        <v>700000</v>
      </c>
      <c r="AQ454" s="100">
        <v>51678252157300</v>
      </c>
      <c r="AR454" s="100">
        <v>148305972000</v>
      </c>
      <c r="AS454" s="100">
        <v>38150268000</v>
      </c>
      <c r="AT454" s="100">
        <v>78602788000</v>
      </c>
      <c r="AU454" s="55">
        <v>17570223</v>
      </c>
      <c r="AV454" s="99">
        <v>5636518040.6000004</v>
      </c>
      <c r="AX454" s="74">
        <f t="shared" si="131"/>
        <v>1.5210032212534239E-3</v>
      </c>
      <c r="AY454" s="73"/>
      <c r="AZ454" s="73"/>
      <c r="BA454" s="73"/>
      <c r="BB454" s="73"/>
      <c r="BC454" s="74"/>
      <c r="BF454" s="73"/>
      <c r="BG454" s="74"/>
    </row>
    <row r="455" spans="1:59" ht="15">
      <c r="A455" s="77">
        <v>44343</v>
      </c>
      <c r="B455" s="118">
        <v>29395370000</v>
      </c>
      <c r="C455" s="118">
        <v>7863080000</v>
      </c>
      <c r="D455" s="118"/>
      <c r="E455" s="118"/>
      <c r="F455" s="120">
        <v>37258450000</v>
      </c>
      <c r="G455" s="120">
        <v>10059782</v>
      </c>
      <c r="H455" s="122">
        <v>241057000</v>
      </c>
      <c r="I455" s="121">
        <v>56962000000</v>
      </c>
      <c r="J455" s="121">
        <v>57203057000</v>
      </c>
      <c r="K455" s="121"/>
      <c r="L455" s="122">
        <v>5246034000</v>
      </c>
      <c r="M455" s="121"/>
      <c r="N455" s="121">
        <v>5246034000</v>
      </c>
      <c r="O455" s="122">
        <v>178776000</v>
      </c>
      <c r="P455" s="121"/>
      <c r="Q455" s="121">
        <v>178776000</v>
      </c>
      <c r="R455" s="121">
        <v>888523000</v>
      </c>
      <c r="S455" s="121"/>
      <c r="T455" s="121">
        <v>888523000</v>
      </c>
      <c r="U455" s="121">
        <v>129002000</v>
      </c>
      <c r="V455" s="121">
        <v>3028720000</v>
      </c>
      <c r="W455" s="121">
        <v>3157722000</v>
      </c>
      <c r="X455" s="121"/>
      <c r="Y455" s="121"/>
      <c r="Z455" s="121"/>
      <c r="AA455" s="121"/>
      <c r="AB455" s="121"/>
      <c r="AC455" s="121"/>
      <c r="AD455" s="121"/>
      <c r="AE455" s="121"/>
      <c r="AF455" s="121"/>
      <c r="AG455" s="121"/>
      <c r="AH455" s="121"/>
      <c r="AI455" s="121"/>
      <c r="AJ455" s="52">
        <v>11520136</v>
      </c>
      <c r="AK455" s="124">
        <v>384900</v>
      </c>
      <c r="AL455" s="125">
        <v>44343</v>
      </c>
      <c r="AM455" s="125">
        <v>289</v>
      </c>
      <c r="AN455" s="54">
        <v>3210450</v>
      </c>
      <c r="AO455" s="125">
        <v>780300</v>
      </c>
      <c r="AP455" s="66">
        <v>1600000</v>
      </c>
      <c r="AQ455" s="101">
        <v>58807018860764</v>
      </c>
      <c r="AR455" s="101">
        <v>177007668000</v>
      </c>
      <c r="AS455" s="101">
        <v>75159233000</v>
      </c>
      <c r="AT455" s="101">
        <v>112417683000</v>
      </c>
      <c r="AU455" s="55">
        <v>27555568</v>
      </c>
      <c r="AV455" s="99">
        <v>5664073608.6000004</v>
      </c>
      <c r="AX455" s="74">
        <f t="shared" si="131"/>
        <v>1.9116371681103018E-3</v>
      </c>
      <c r="AY455" s="74"/>
      <c r="AZ455" s="74"/>
      <c r="BA455" s="74"/>
      <c r="BB455" s="74"/>
    </row>
    <row r="456" spans="1:59" ht="15">
      <c r="A456" s="47">
        <v>44344</v>
      </c>
      <c r="B456" s="65">
        <v>17596865000</v>
      </c>
      <c r="C456" s="65"/>
      <c r="D456" s="65"/>
      <c r="E456" s="65"/>
      <c r="F456" s="65">
        <v>17596865000</v>
      </c>
      <c r="G456" s="65">
        <v>4751154</v>
      </c>
      <c r="H456" s="58">
        <v>6378381000</v>
      </c>
      <c r="I456" s="58">
        <v>6122500000</v>
      </c>
      <c r="J456" s="58">
        <v>12500881000</v>
      </c>
      <c r="K456" s="58"/>
      <c r="L456" s="58">
        <v>2477402000</v>
      </c>
      <c r="M456" s="58"/>
      <c r="N456" s="58">
        <v>2477402000</v>
      </c>
      <c r="O456" s="58">
        <v>1159700000</v>
      </c>
      <c r="P456" s="58"/>
      <c r="Q456" s="58">
        <v>1159700000</v>
      </c>
      <c r="R456" s="58">
        <v>756505000</v>
      </c>
      <c r="S456" s="58"/>
      <c r="T456" s="58">
        <v>756505000</v>
      </c>
      <c r="U456" s="58">
        <v>28656000</v>
      </c>
      <c r="V456" s="58"/>
      <c r="W456" s="58">
        <v>28656000</v>
      </c>
      <c r="X456" s="122"/>
      <c r="Y456" s="122"/>
      <c r="Z456" s="122"/>
      <c r="AA456" s="122"/>
      <c r="AB456" s="122"/>
      <c r="AC456" s="122"/>
      <c r="AD456" s="122"/>
      <c r="AE456" s="122"/>
      <c r="AF456" s="122"/>
      <c r="AG456" s="122"/>
      <c r="AH456" s="122"/>
      <c r="AI456" s="122"/>
      <c r="AJ456" s="52">
        <v>2268520</v>
      </c>
      <c r="AK456" s="66">
        <v>137010</v>
      </c>
      <c r="AL456" s="125">
        <v>44344</v>
      </c>
      <c r="AM456" s="116">
        <v>235</v>
      </c>
      <c r="AN456" s="42">
        <v>9990900</v>
      </c>
      <c r="AO456" s="126">
        <v>634500</v>
      </c>
      <c r="AP456" s="135"/>
      <c r="AQ456" s="102">
        <v>61644776245546</v>
      </c>
      <c r="AR456" s="102">
        <v>195615768000</v>
      </c>
      <c r="AS456" s="102">
        <v>25207354000</v>
      </c>
      <c r="AT456" s="102">
        <v>42804219000</v>
      </c>
      <c r="AU456" s="55">
        <v>17782084</v>
      </c>
      <c r="AV456" s="99">
        <v>5681855692.6000004</v>
      </c>
      <c r="AX456" s="74">
        <f t="shared" si="131"/>
        <v>6.9436895722519104E-4</v>
      </c>
      <c r="BG456" s="76"/>
    </row>
    <row r="457" spans="1:59" ht="15">
      <c r="A457" s="49">
        <v>44347</v>
      </c>
      <c r="B457" s="56">
        <v>31550805000</v>
      </c>
      <c r="C457" s="56">
        <v>10791530000</v>
      </c>
      <c r="D457" s="56">
        <v>2585940000</v>
      </c>
      <c r="E457" s="56"/>
      <c r="F457" s="65">
        <v>44928275000</v>
      </c>
      <c r="G457" s="65">
        <v>12130634</v>
      </c>
      <c r="H457" s="58">
        <v>654650000</v>
      </c>
      <c r="I457" s="57">
        <v>7311000000</v>
      </c>
      <c r="J457" s="57">
        <v>7965650000</v>
      </c>
      <c r="K457" s="57"/>
      <c r="L457" s="58">
        <v>350489000</v>
      </c>
      <c r="M457" s="57"/>
      <c r="N457" s="57">
        <v>350489000</v>
      </c>
      <c r="O457" s="58">
        <v>61059000</v>
      </c>
      <c r="P457" s="57"/>
      <c r="Q457" s="57">
        <v>61059000</v>
      </c>
      <c r="R457" s="57">
        <v>706709000</v>
      </c>
      <c r="S457" s="57"/>
      <c r="T457" s="57">
        <v>706709000</v>
      </c>
      <c r="U457" s="57">
        <v>979481000</v>
      </c>
      <c r="V457" s="57"/>
      <c r="W457" s="57">
        <v>979481000</v>
      </c>
      <c r="X457" s="121"/>
      <c r="Y457" s="121"/>
      <c r="Z457" s="121"/>
      <c r="AA457" s="121"/>
      <c r="AB457" s="121"/>
      <c r="AC457" s="121"/>
      <c r="AD457" s="121"/>
      <c r="AE457" s="121"/>
      <c r="AF457" s="121"/>
      <c r="AG457" s="121"/>
      <c r="AH457" s="121"/>
      <c r="AI457" s="121"/>
      <c r="AJ457" s="52">
        <v>1613238</v>
      </c>
      <c r="AK457" s="59">
        <v>237675</v>
      </c>
      <c r="AL457" s="125">
        <v>44347</v>
      </c>
      <c r="AM457" s="60">
        <v>307</v>
      </c>
      <c r="AN457" s="34">
        <v>3383850</v>
      </c>
      <c r="AO457" s="125">
        <v>828900</v>
      </c>
      <c r="AP457" s="59">
        <v>0</v>
      </c>
      <c r="AQ457" s="100">
        <v>64081501453280</v>
      </c>
      <c r="AR457" s="100">
        <v>248158170000</v>
      </c>
      <c r="AS457" s="100">
        <v>10794339000</v>
      </c>
      <c r="AT457" s="100">
        <v>55722614000</v>
      </c>
      <c r="AU457" s="55">
        <v>18194297</v>
      </c>
      <c r="AV457" s="99">
        <v>5700049989.6000004</v>
      </c>
      <c r="AX457" s="74">
        <f t="shared" si="131"/>
        <v>8.6955849560774992E-4</v>
      </c>
      <c r="BA457" s="74"/>
    </row>
    <row r="458" spans="1:59" ht="15">
      <c r="A458" s="78">
        <v>44348</v>
      </c>
      <c r="B458" s="137">
        <v>22312700000</v>
      </c>
      <c r="C458" s="137">
        <v>2389390000</v>
      </c>
      <c r="D458" s="137"/>
      <c r="E458" s="137"/>
      <c r="F458" s="138">
        <f t="shared" ref="F458:F479" si="132">SUM(B458:E458)</f>
        <v>24702090000</v>
      </c>
      <c r="G458" s="138">
        <f t="shared" ref="G458:G490" si="133">ROUND(F458*0.027%,0)</f>
        <v>6669564</v>
      </c>
      <c r="H458" s="138">
        <f t="shared" ref="H458:H480" si="134">J458-I458</f>
        <v>4054420000</v>
      </c>
      <c r="I458" s="137"/>
      <c r="J458" s="137">
        <v>4054420000</v>
      </c>
      <c r="K458" s="137"/>
      <c r="L458" s="138">
        <f t="shared" ref="L458:L485" si="135">N458-M458</f>
        <v>253619000</v>
      </c>
      <c r="M458" s="137"/>
      <c r="N458" s="137">
        <v>253619000</v>
      </c>
      <c r="O458" s="138">
        <f t="shared" ref="O458:O485" si="136">Q458-P458</f>
        <v>101001000</v>
      </c>
      <c r="P458" s="137"/>
      <c r="Q458" s="137">
        <v>101001000</v>
      </c>
      <c r="R458" s="137">
        <f t="shared" ref="R458:R485" si="137">T458-S458</f>
        <v>294436000</v>
      </c>
      <c r="S458" s="137"/>
      <c r="T458" s="137">
        <v>294436000</v>
      </c>
      <c r="U458" s="137">
        <f t="shared" ref="U458:U485" si="138">W458-V458</f>
        <v>64675000</v>
      </c>
      <c r="V458" s="137"/>
      <c r="W458" s="137">
        <v>64675000</v>
      </c>
      <c r="X458" s="139"/>
      <c r="Y458" s="139"/>
      <c r="Z458" s="139"/>
      <c r="AA458" s="139"/>
      <c r="AB458" s="139"/>
      <c r="AC458" s="139"/>
      <c r="AD458" s="139"/>
      <c r="AE458" s="139"/>
      <c r="AF458" s="139"/>
      <c r="AG458" s="139"/>
      <c r="AH458" s="139"/>
      <c r="AI458" s="139"/>
      <c r="AJ458" s="140">
        <f t="shared" ref="AJ458:AJ489" si="139">ROUND(H458*0.0108%+I458*0.018%+K458*0.018%+L458*0.0108%+M458*0.018%+O458*0.0108%+P458*0.018%+R458*0.0108%+S458*0.018%+V458*0.018%+U458*0.0108%,0)</f>
        <v>514960</v>
      </c>
      <c r="AK458" s="137">
        <f>164100*0.3</f>
        <v>49230</v>
      </c>
      <c r="AL458" s="54">
        <v>44348</v>
      </c>
      <c r="AM458" s="60">
        <v>272</v>
      </c>
      <c r="AN458" s="34">
        <f>1351*2550</f>
        <v>3445050</v>
      </c>
      <c r="AO458" s="125">
        <f>AM458*2700</f>
        <v>734400</v>
      </c>
      <c r="AP458" s="59">
        <f>700000+700000+700000</f>
        <v>2100000</v>
      </c>
      <c r="AQ458" s="100">
        <v>57765003576014</v>
      </c>
      <c r="AR458" s="100">
        <v>57315940000</v>
      </c>
      <c r="AS458" s="100">
        <v>4868369000</v>
      </c>
      <c r="AT458" s="100">
        <v>29570459000</v>
      </c>
      <c r="AU458" s="55">
        <v>13513204</v>
      </c>
      <c r="AV458" s="99">
        <v>5713563193.6000004</v>
      </c>
      <c r="AX458" s="74">
        <f t="shared" si="131"/>
        <v>5.1190958485941584E-4</v>
      </c>
      <c r="AY458" s="74"/>
      <c r="BG458" s="73"/>
    </row>
    <row r="459" spans="1:59" ht="15">
      <c r="A459" s="28">
        <v>44349</v>
      </c>
      <c r="B459" s="56">
        <v>26742770000</v>
      </c>
      <c r="C459" s="56">
        <v>10116900000</v>
      </c>
      <c r="D459" s="56"/>
      <c r="E459" s="56"/>
      <c r="F459" s="65">
        <f t="shared" si="132"/>
        <v>36859670000</v>
      </c>
      <c r="G459" s="65">
        <f t="shared" si="133"/>
        <v>9952111</v>
      </c>
      <c r="H459" s="58">
        <f>J459-I459</f>
        <v>4747721000</v>
      </c>
      <c r="I459" s="57">
        <v>37408000000</v>
      </c>
      <c r="J459" s="57">
        <v>42155721000</v>
      </c>
      <c r="K459" s="57"/>
      <c r="L459" s="58">
        <f t="shared" si="135"/>
        <v>2134073000</v>
      </c>
      <c r="M459" s="57"/>
      <c r="N459" s="57">
        <v>2134073000</v>
      </c>
      <c r="O459" s="58">
        <f t="shared" si="136"/>
        <v>44125000</v>
      </c>
      <c r="P459" s="57"/>
      <c r="Q459" s="57">
        <v>44125000</v>
      </c>
      <c r="R459" s="57">
        <f t="shared" si="137"/>
        <v>547119000</v>
      </c>
      <c r="S459" s="57"/>
      <c r="T459" s="57">
        <v>547119000</v>
      </c>
      <c r="U459" s="57">
        <f t="shared" si="138"/>
        <v>292262000</v>
      </c>
      <c r="V459" s="57"/>
      <c r="W459" s="57">
        <v>292262000</v>
      </c>
      <c r="X459" s="57"/>
      <c r="Y459" s="57"/>
      <c r="Z459" s="57"/>
      <c r="AA459" s="57"/>
      <c r="AB459" s="57"/>
      <c r="AC459" s="57"/>
      <c r="AD459" s="57"/>
      <c r="AE459" s="57"/>
      <c r="AF459" s="57"/>
      <c r="AG459" s="57"/>
      <c r="AH459" s="57"/>
      <c r="AI459" s="57"/>
      <c r="AJ459" s="57">
        <f t="shared" si="139"/>
        <v>7572092</v>
      </c>
      <c r="AK459" s="59">
        <f>(168600*0.3)+300000</f>
        <v>350580</v>
      </c>
      <c r="AL459" s="54">
        <v>44349</v>
      </c>
      <c r="AM459" s="60">
        <v>174</v>
      </c>
      <c r="AN459" s="34">
        <f>1257*2550</f>
        <v>3205350</v>
      </c>
      <c r="AO459" s="125">
        <f t="shared" ref="AO459:AO522" si="140">AM459*2700</f>
        <v>469800</v>
      </c>
      <c r="AP459" s="59">
        <v>1400000</v>
      </c>
      <c r="AQ459" s="100">
        <v>65398417608152</v>
      </c>
      <c r="AR459" s="100">
        <v>270664288000</v>
      </c>
      <c r="AS459" s="100">
        <v>57464300000</v>
      </c>
      <c r="AT459" s="100">
        <v>94323970000</v>
      </c>
      <c r="AU459" s="55">
        <v>22949933</v>
      </c>
      <c r="AV459" s="99">
        <v>5736513126.6000004</v>
      </c>
      <c r="AX459" s="74">
        <f t="shared" si="131"/>
        <v>1.4422974354694844E-3</v>
      </c>
    </row>
    <row r="460" spans="1:59" ht="15">
      <c r="A460" s="50">
        <v>44350</v>
      </c>
      <c r="B460" s="118">
        <v>26959730000</v>
      </c>
      <c r="C460" s="118">
        <v>7720535000</v>
      </c>
      <c r="D460" s="118">
        <v>721070000</v>
      </c>
      <c r="E460" s="118"/>
      <c r="F460" s="120">
        <f t="shared" si="132"/>
        <v>35401335000</v>
      </c>
      <c r="G460" s="120">
        <f t="shared" si="133"/>
        <v>9558360</v>
      </c>
      <c r="H460" s="122">
        <f>J460-I460</f>
        <v>6661413000</v>
      </c>
      <c r="I460" s="121"/>
      <c r="J460" s="121">
        <v>6661413000</v>
      </c>
      <c r="K460" s="121"/>
      <c r="L460" s="122">
        <f t="shared" si="135"/>
        <v>38011000</v>
      </c>
      <c r="M460" s="121"/>
      <c r="N460" s="121">
        <v>38011000</v>
      </c>
      <c r="O460" s="122">
        <f t="shared" si="136"/>
        <v>84238000</v>
      </c>
      <c r="P460" s="121"/>
      <c r="Q460" s="121">
        <v>84238000</v>
      </c>
      <c r="R460" s="121">
        <f t="shared" si="137"/>
        <v>2158922000</v>
      </c>
      <c r="S460" s="121"/>
      <c r="T460" s="121">
        <v>2158922000</v>
      </c>
      <c r="U460" s="121">
        <f t="shared" si="138"/>
        <v>1231408000</v>
      </c>
      <c r="V460" s="121"/>
      <c r="W460" s="121">
        <v>1231408000</v>
      </c>
      <c r="X460" s="121"/>
      <c r="Y460" s="121"/>
      <c r="Z460" s="121"/>
      <c r="AA460" s="121"/>
      <c r="AB460" s="121"/>
      <c r="AC460" s="121"/>
      <c r="AD460" s="121"/>
      <c r="AE460" s="121"/>
      <c r="AF460" s="121"/>
      <c r="AG460" s="121"/>
      <c r="AH460" s="121"/>
      <c r="AI460" s="121"/>
      <c r="AJ460" s="121">
        <f t="shared" si="139"/>
        <v>1098791</v>
      </c>
      <c r="AK460" s="124">
        <f>354400*0.3</f>
        <v>106320</v>
      </c>
      <c r="AL460" s="54">
        <v>44350</v>
      </c>
      <c r="AM460" s="125">
        <v>315</v>
      </c>
      <c r="AN460" s="54">
        <f>1208*2550</f>
        <v>3080400</v>
      </c>
      <c r="AO460" s="125">
        <f t="shared" si="140"/>
        <v>850500</v>
      </c>
      <c r="AP460" s="124">
        <v>800000</v>
      </c>
      <c r="AQ460" s="101">
        <v>73719002884194</v>
      </c>
      <c r="AR460" s="101">
        <v>62514346000</v>
      </c>
      <c r="AS460" s="101">
        <v>12607854000</v>
      </c>
      <c r="AT460" s="101">
        <v>48009189000</v>
      </c>
      <c r="AU460" s="55">
        <v>15494371</v>
      </c>
      <c r="AV460" s="99">
        <v>5752007497.6000004</v>
      </c>
      <c r="AX460" s="74">
        <f t="shared" si="131"/>
        <v>6.5124577275438961E-4</v>
      </c>
      <c r="BG460" s="73"/>
    </row>
    <row r="461" spans="1:59" ht="15">
      <c r="A461" s="41">
        <v>44351</v>
      </c>
      <c r="B461" s="65">
        <v>22276050000</v>
      </c>
      <c r="C461" s="65">
        <v>7252320000</v>
      </c>
      <c r="D461" s="65"/>
      <c r="E461" s="65"/>
      <c r="F461" s="65">
        <f t="shared" si="132"/>
        <v>29528370000</v>
      </c>
      <c r="G461" s="65">
        <f t="shared" si="133"/>
        <v>7972660</v>
      </c>
      <c r="H461" s="58">
        <f t="shared" si="134"/>
        <v>2527000</v>
      </c>
      <c r="I461" s="58">
        <v>10073000000</v>
      </c>
      <c r="J461" s="58">
        <v>10075527000</v>
      </c>
      <c r="K461" s="58"/>
      <c r="L461" s="58">
        <f t="shared" si="135"/>
        <v>1656578000</v>
      </c>
      <c r="M461" s="58">
        <v>5056000000</v>
      </c>
      <c r="N461" s="58">
        <v>6712578000</v>
      </c>
      <c r="O461" s="58">
        <f t="shared" si="136"/>
        <v>291293000</v>
      </c>
      <c r="P461" s="58"/>
      <c r="Q461" s="58">
        <v>291293000</v>
      </c>
      <c r="R461" s="121">
        <f t="shared" si="137"/>
        <v>513010000</v>
      </c>
      <c r="S461" s="58"/>
      <c r="T461" s="58">
        <v>513010000</v>
      </c>
      <c r="U461" s="121">
        <f t="shared" si="138"/>
        <v>78984000</v>
      </c>
      <c r="V461" s="58"/>
      <c r="W461" s="58">
        <v>78984000</v>
      </c>
      <c r="X461" s="122"/>
      <c r="Y461" s="122"/>
      <c r="Z461" s="122"/>
      <c r="AA461" s="122"/>
      <c r="AB461" s="122"/>
      <c r="AC461" s="122"/>
      <c r="AD461" s="122"/>
      <c r="AE461" s="122"/>
      <c r="AF461" s="122"/>
      <c r="AG461" s="122"/>
      <c r="AH461" s="122"/>
      <c r="AI461" s="122"/>
      <c r="AJ461" s="121">
        <f t="shared" si="139"/>
        <v>2997798</v>
      </c>
      <c r="AK461" s="66">
        <f>574800*0.3</f>
        <v>172440</v>
      </c>
      <c r="AL461" s="54">
        <v>44351</v>
      </c>
      <c r="AM461" s="116">
        <v>123</v>
      </c>
      <c r="AN461" s="42">
        <f>1295*2550*3</f>
        <v>9906750</v>
      </c>
      <c r="AO461" s="125">
        <f t="shared" si="140"/>
        <v>332100</v>
      </c>
      <c r="AP461" s="135">
        <v>700000</v>
      </c>
      <c r="AQ461" s="102">
        <v>77231544599096</v>
      </c>
      <c r="AR461" s="102">
        <v>308438890000</v>
      </c>
      <c r="AS461" s="102">
        <v>29989682000</v>
      </c>
      <c r="AT461" s="102">
        <v>59518052000</v>
      </c>
      <c r="AU461" s="55">
        <v>22081748</v>
      </c>
      <c r="AV461" s="99">
        <v>5774089245.6000004</v>
      </c>
      <c r="AX461" s="74">
        <f t="shared" si="131"/>
        <v>7.7064433074535018E-4</v>
      </c>
      <c r="BG461" s="73"/>
    </row>
    <row r="462" spans="1:59" ht="15">
      <c r="A462" s="28">
        <v>44354</v>
      </c>
      <c r="B462" s="56">
        <v>21877570000</v>
      </c>
      <c r="C462" s="56"/>
      <c r="D462" s="56"/>
      <c r="E462" s="56"/>
      <c r="F462" s="65">
        <f t="shared" si="132"/>
        <v>21877570000</v>
      </c>
      <c r="G462" s="65">
        <f t="shared" si="133"/>
        <v>5906944</v>
      </c>
      <c r="H462" s="58">
        <f t="shared" si="134"/>
        <v>549988000</v>
      </c>
      <c r="I462" s="57">
        <v>4958000000</v>
      </c>
      <c r="J462" s="57">
        <v>5507988000</v>
      </c>
      <c r="K462" s="57"/>
      <c r="L462" s="58">
        <f t="shared" si="135"/>
        <v>1010903000</v>
      </c>
      <c r="M462" s="57">
        <v>14816000000</v>
      </c>
      <c r="N462" s="57">
        <v>15826903000</v>
      </c>
      <c r="O462" s="58">
        <f t="shared" si="136"/>
        <v>228423000</v>
      </c>
      <c r="P462" s="57"/>
      <c r="Q462" s="57">
        <v>228423000</v>
      </c>
      <c r="R462" s="121">
        <f t="shared" si="137"/>
        <v>764265000</v>
      </c>
      <c r="S462" s="57"/>
      <c r="T462" s="57">
        <v>764265000</v>
      </c>
      <c r="U462" s="121">
        <f t="shared" si="138"/>
        <v>570077000</v>
      </c>
      <c r="V462" s="57"/>
      <c r="W462" s="57">
        <v>570077000</v>
      </c>
      <c r="X462" s="121"/>
      <c r="Y462" s="121"/>
      <c r="Z462" s="121"/>
      <c r="AA462" s="121"/>
      <c r="AB462" s="121"/>
      <c r="AC462" s="121"/>
      <c r="AD462" s="121"/>
      <c r="AE462" s="121"/>
      <c r="AF462" s="121"/>
      <c r="AG462" s="121"/>
      <c r="AH462" s="121"/>
      <c r="AI462" s="121"/>
      <c r="AJ462" s="121">
        <f t="shared" si="139"/>
        <v>3896675</v>
      </c>
      <c r="AK462" s="59">
        <f>302900*0.3</f>
        <v>90870</v>
      </c>
      <c r="AL462" s="54">
        <v>44354</v>
      </c>
      <c r="AM462" s="60">
        <v>264</v>
      </c>
      <c r="AN462" s="34">
        <f>1371*2550</f>
        <v>3496050</v>
      </c>
      <c r="AO462" s="125">
        <f t="shared" si="140"/>
        <v>712800</v>
      </c>
      <c r="AP462" s="59"/>
      <c r="AQ462" s="100">
        <v>73862469364974</v>
      </c>
      <c r="AR462" s="100">
        <v>250955421000</v>
      </c>
      <c r="AS462" s="100">
        <v>28967340000</v>
      </c>
      <c r="AT462" s="100">
        <v>50844910000</v>
      </c>
      <c r="AU462" s="55">
        <v>14103339</v>
      </c>
      <c r="AV462" s="99">
        <v>5788192584.6000004</v>
      </c>
      <c r="AX462" s="74">
        <f t="shared" si="131"/>
        <v>6.8837273431466054E-4</v>
      </c>
    </row>
    <row r="463" spans="1:59" ht="15">
      <c r="A463" s="28">
        <v>44355</v>
      </c>
      <c r="B463" s="56">
        <v>46804775000</v>
      </c>
      <c r="C463" s="56">
        <v>3175400000</v>
      </c>
      <c r="D463" s="56"/>
      <c r="E463" s="56"/>
      <c r="F463" s="65">
        <f t="shared" si="132"/>
        <v>49980175000</v>
      </c>
      <c r="G463" s="65">
        <f t="shared" si="133"/>
        <v>13494647</v>
      </c>
      <c r="H463" s="58">
        <f t="shared" si="134"/>
        <v>261555000</v>
      </c>
      <c r="I463" s="57">
        <v>19847000000</v>
      </c>
      <c r="J463" s="57">
        <v>20108555000</v>
      </c>
      <c r="K463" s="57"/>
      <c r="L463" s="58">
        <f t="shared" si="135"/>
        <v>1220124000</v>
      </c>
      <c r="M463" s="57">
        <v>14822000000</v>
      </c>
      <c r="N463" s="57">
        <v>16042124000</v>
      </c>
      <c r="O463" s="58">
        <f t="shared" si="136"/>
        <v>225728000</v>
      </c>
      <c r="P463" s="57"/>
      <c r="Q463" s="57">
        <v>225728000</v>
      </c>
      <c r="R463" s="121">
        <f t="shared" si="137"/>
        <v>628826000</v>
      </c>
      <c r="S463" s="57"/>
      <c r="T463" s="57">
        <v>628826000</v>
      </c>
      <c r="U463" s="121">
        <f t="shared" si="138"/>
        <v>71461000</v>
      </c>
      <c r="V463" s="57"/>
      <c r="W463" s="57">
        <v>71461000</v>
      </c>
      <c r="X463" s="121"/>
      <c r="Y463" s="121"/>
      <c r="Z463" s="121"/>
      <c r="AA463" s="121"/>
      <c r="AB463" s="121"/>
      <c r="AC463" s="121"/>
      <c r="AD463" s="121"/>
      <c r="AE463" s="121"/>
      <c r="AF463" s="121"/>
      <c r="AG463" s="121"/>
      <c r="AH463" s="121"/>
      <c r="AI463" s="121"/>
      <c r="AJ463" s="121">
        <f t="shared" si="139"/>
        <v>6500451</v>
      </c>
      <c r="AK463" s="59">
        <f>1055100*0.3</f>
        <v>316530</v>
      </c>
      <c r="AL463" s="54">
        <v>44355</v>
      </c>
      <c r="AM463" s="60">
        <v>465</v>
      </c>
      <c r="AN463" s="34">
        <f>1390*2550</f>
        <v>3544500</v>
      </c>
      <c r="AO463" s="125">
        <f t="shared" si="140"/>
        <v>1255500</v>
      </c>
      <c r="AP463" s="59">
        <v>700000</v>
      </c>
      <c r="AQ463" s="100">
        <v>76379633166166</v>
      </c>
      <c r="AR463" s="100">
        <v>268938436000</v>
      </c>
      <c r="AS463" s="100">
        <v>60356966000</v>
      </c>
      <c r="AT463" s="100">
        <v>110337141000</v>
      </c>
      <c r="AU463" s="55">
        <v>25811628</v>
      </c>
      <c r="AV463" s="99">
        <v>5814004212.6000004</v>
      </c>
      <c r="AX463" s="74">
        <f t="shared" si="131"/>
        <v>1.4445885169408774E-3</v>
      </c>
      <c r="AZ463" s="75"/>
      <c r="BA463" s="75"/>
      <c r="BB463" s="75"/>
    </row>
    <row r="464" spans="1:59" ht="15">
      <c r="A464" s="28">
        <v>44356</v>
      </c>
      <c r="B464" s="56">
        <v>91714250000</v>
      </c>
      <c r="C464" s="56">
        <v>8438700000</v>
      </c>
      <c r="D464" s="56"/>
      <c r="E464" s="56"/>
      <c r="F464" s="65">
        <f t="shared" si="132"/>
        <v>100152950000</v>
      </c>
      <c r="G464" s="65">
        <f t="shared" si="133"/>
        <v>27041297</v>
      </c>
      <c r="H464" s="58">
        <f>J464-I464</f>
        <v>3048062000</v>
      </c>
      <c r="I464" s="57">
        <v>88049300000</v>
      </c>
      <c r="J464" s="57">
        <v>91097362000</v>
      </c>
      <c r="K464" s="57"/>
      <c r="L464" s="58">
        <f t="shared" si="135"/>
        <v>95263000</v>
      </c>
      <c r="M464" s="57">
        <v>7146000000</v>
      </c>
      <c r="N464" s="57">
        <v>7241263000</v>
      </c>
      <c r="O464" s="58">
        <f t="shared" si="136"/>
        <v>38384000</v>
      </c>
      <c r="P464" s="57"/>
      <c r="Q464" s="57">
        <v>38384000</v>
      </c>
      <c r="R464" s="121">
        <f t="shared" si="137"/>
        <v>490712000</v>
      </c>
      <c r="S464" s="57"/>
      <c r="T464" s="57">
        <v>490712000</v>
      </c>
      <c r="U464" s="121">
        <f t="shared" si="138"/>
        <v>64960000</v>
      </c>
      <c r="V464" s="57"/>
      <c r="W464" s="57">
        <v>64960000</v>
      </c>
      <c r="X464" s="121"/>
      <c r="Y464" s="121"/>
      <c r="Z464" s="121"/>
      <c r="AA464" s="121"/>
      <c r="AB464" s="121"/>
      <c r="AC464" s="121"/>
      <c r="AD464" s="121"/>
      <c r="AE464" s="121"/>
      <c r="AF464" s="121"/>
      <c r="AG464" s="121"/>
      <c r="AH464" s="121"/>
      <c r="AI464" s="121"/>
      <c r="AJ464" s="121">
        <f t="shared" si="139"/>
        <v>17538791</v>
      </c>
      <c r="AK464" s="59">
        <f>(138500*0.3)+300000</f>
        <v>341550</v>
      </c>
      <c r="AL464" s="54">
        <v>44356</v>
      </c>
      <c r="AM464" s="60">
        <v>584</v>
      </c>
      <c r="AN464" s="34">
        <f>1830*2550</f>
        <v>4666500</v>
      </c>
      <c r="AO464" s="125">
        <f t="shared" si="140"/>
        <v>1576800</v>
      </c>
      <c r="AP464" s="59">
        <v>700000</v>
      </c>
      <c r="AQ464" s="100">
        <v>62508164725334</v>
      </c>
      <c r="AR464" s="100">
        <v>354894802000</v>
      </c>
      <c r="AS464" s="100">
        <v>125198595000</v>
      </c>
      <c r="AT464" s="100">
        <v>225351545000</v>
      </c>
      <c r="AU464" s="55">
        <v>51864938</v>
      </c>
      <c r="AV464" s="99">
        <v>5865869150.6000004</v>
      </c>
      <c r="AX464" s="74">
        <f t="shared" si="131"/>
        <v>3.6051537585563929E-3</v>
      </c>
    </row>
    <row r="465" spans="1:52" ht="15">
      <c r="A465" s="50">
        <v>44357</v>
      </c>
      <c r="B465" s="118">
        <v>35193505000</v>
      </c>
      <c r="C465" s="118">
        <v>18669030000</v>
      </c>
      <c r="D465" s="118"/>
      <c r="E465" s="118"/>
      <c r="F465" s="120">
        <f t="shared" si="132"/>
        <v>53862535000</v>
      </c>
      <c r="G465" s="120">
        <f t="shared" si="133"/>
        <v>14542884</v>
      </c>
      <c r="H465" s="122">
        <f t="shared" si="134"/>
        <v>5963399000</v>
      </c>
      <c r="I465" s="121">
        <v>31759500000</v>
      </c>
      <c r="J465" s="121">
        <v>37722899000</v>
      </c>
      <c r="K465" s="121"/>
      <c r="L465" s="122">
        <f t="shared" si="135"/>
        <v>2102581000</v>
      </c>
      <c r="M465" s="121">
        <v>9738000000</v>
      </c>
      <c r="N465" s="121">
        <v>11840581000</v>
      </c>
      <c r="O465" s="122">
        <f t="shared" si="136"/>
        <v>54394000</v>
      </c>
      <c r="P465" s="121"/>
      <c r="Q465" s="121">
        <v>54394000</v>
      </c>
      <c r="R465" s="121">
        <f t="shared" si="137"/>
        <v>724268000</v>
      </c>
      <c r="S465" s="121"/>
      <c r="T465" s="121">
        <v>724268000</v>
      </c>
      <c r="U465" s="121">
        <f t="shared" si="138"/>
        <v>144334000</v>
      </c>
      <c r="V465" s="121"/>
      <c r="W465" s="121">
        <v>144334000</v>
      </c>
      <c r="X465" s="121"/>
      <c r="Y465" s="121"/>
      <c r="Z465" s="121"/>
      <c r="AA465" s="121"/>
      <c r="AB465" s="121"/>
      <c r="AC465" s="121"/>
      <c r="AD465" s="121"/>
      <c r="AE465" s="121"/>
      <c r="AF465" s="121"/>
      <c r="AG465" s="121"/>
      <c r="AH465" s="121"/>
      <c r="AI465" s="121"/>
      <c r="AJ465" s="121">
        <f t="shared" si="139"/>
        <v>8440359</v>
      </c>
      <c r="AK465" s="124">
        <f>(206800*0.3)+300000</f>
        <v>362040</v>
      </c>
      <c r="AL465" s="54">
        <v>44357</v>
      </c>
      <c r="AM465" s="125">
        <v>807</v>
      </c>
      <c r="AN465" s="54">
        <f>1869*2550</f>
        <v>4765950</v>
      </c>
      <c r="AO465" s="125">
        <f t="shared" si="140"/>
        <v>2178900</v>
      </c>
      <c r="AP465" s="124">
        <v>1400000</v>
      </c>
      <c r="AQ465" s="101">
        <v>61500480330096</v>
      </c>
      <c r="AR465" s="101">
        <v>202537360000</v>
      </c>
      <c r="AS465" s="101">
        <v>51284511000</v>
      </c>
      <c r="AT465" s="101">
        <v>105147046000</v>
      </c>
      <c r="AU465" s="55">
        <v>31690133</v>
      </c>
      <c r="AV465" s="99">
        <v>5897559283.6000004</v>
      </c>
      <c r="AX465" s="74">
        <f t="shared" si="131"/>
        <v>1.7096947119052829E-3</v>
      </c>
      <c r="AY465" s="74"/>
      <c r="AZ465" s="74"/>
    </row>
    <row r="466" spans="1:52" ht="15">
      <c r="A466" s="41">
        <v>44358</v>
      </c>
      <c r="B466" s="65">
        <f>4343730000+8112625000</f>
        <v>12456355000</v>
      </c>
      <c r="C466" s="65">
        <v>22493685000</v>
      </c>
      <c r="D466" s="65"/>
      <c r="E466" s="65"/>
      <c r="F466" s="65">
        <f t="shared" si="132"/>
        <v>34950040000</v>
      </c>
      <c r="G466" s="65">
        <f t="shared" si="133"/>
        <v>9436511</v>
      </c>
      <c r="H466" s="58">
        <f t="shared" si="134"/>
        <v>151861000</v>
      </c>
      <c r="I466" s="58">
        <v>17057000000</v>
      </c>
      <c r="J466" s="58">
        <v>17208861000</v>
      </c>
      <c r="K466" s="58"/>
      <c r="L466" s="58">
        <f t="shared" si="135"/>
        <v>10348263000</v>
      </c>
      <c r="M466" s="58"/>
      <c r="N466" s="58">
        <v>10348263000</v>
      </c>
      <c r="O466" s="122">
        <f t="shared" si="136"/>
        <v>815466000</v>
      </c>
      <c r="P466" s="58"/>
      <c r="Q466" s="58">
        <v>815466000</v>
      </c>
      <c r="R466" s="121">
        <f t="shared" si="137"/>
        <v>775206000</v>
      </c>
      <c r="S466" s="58"/>
      <c r="T466" s="58">
        <v>775206000</v>
      </c>
      <c r="U466" s="121">
        <f t="shared" si="138"/>
        <v>213838000</v>
      </c>
      <c r="V466" s="58"/>
      <c r="W466" s="58">
        <v>213838000</v>
      </c>
      <c r="X466" s="122"/>
      <c r="Y466" s="122"/>
      <c r="Z466" s="122"/>
      <c r="AA466" s="122"/>
      <c r="AB466" s="122"/>
      <c r="AC466" s="122"/>
      <c r="AD466" s="122"/>
      <c r="AE466" s="122"/>
      <c r="AF466" s="122"/>
      <c r="AG466" s="122"/>
      <c r="AH466" s="122"/>
      <c r="AI466" s="122"/>
      <c r="AJ466" s="121">
        <f t="shared" si="139"/>
        <v>4399160</v>
      </c>
      <c r="AK466" s="66">
        <f>1258600*0.3</f>
        <v>377580</v>
      </c>
      <c r="AL466" s="54">
        <v>44358</v>
      </c>
      <c r="AM466" s="116">
        <v>216</v>
      </c>
      <c r="AN466" s="42">
        <f>1933*2550*3</f>
        <v>14787450</v>
      </c>
      <c r="AO466" s="125">
        <f t="shared" si="140"/>
        <v>583200</v>
      </c>
      <c r="AP466" s="135">
        <v>700000</v>
      </c>
      <c r="AQ466" s="102">
        <v>58966540563094</v>
      </c>
      <c r="AR466" s="102">
        <v>260344870000</v>
      </c>
      <c r="AS466" s="102">
        <v>29942549000</v>
      </c>
      <c r="AT466" s="102">
        <v>64892589000</v>
      </c>
      <c r="AU466" s="55">
        <v>30283901</v>
      </c>
      <c r="AV466" s="99">
        <v>5927843184.6000004</v>
      </c>
      <c r="AX466" s="74">
        <f t="shared" si="131"/>
        <v>1.1004984925402762E-3</v>
      </c>
    </row>
    <row r="467" spans="1:52" ht="15">
      <c r="A467" s="28">
        <v>44361</v>
      </c>
      <c r="B467" s="56">
        <v>44168600000</v>
      </c>
      <c r="C467" s="56">
        <v>11848330000</v>
      </c>
      <c r="D467" s="56"/>
      <c r="E467" s="56"/>
      <c r="F467" s="65">
        <f t="shared" si="132"/>
        <v>56016930000</v>
      </c>
      <c r="G467" s="65">
        <f t="shared" si="133"/>
        <v>15124571</v>
      </c>
      <c r="H467" s="58">
        <f t="shared" si="134"/>
        <v>5209725000</v>
      </c>
      <c r="I467" s="57">
        <v>30148000000</v>
      </c>
      <c r="J467" s="57">
        <v>35357725000</v>
      </c>
      <c r="K467" s="57"/>
      <c r="L467" s="58">
        <f t="shared" si="135"/>
        <v>10312333000</v>
      </c>
      <c r="M467" s="57"/>
      <c r="N467" s="57">
        <v>10312333000</v>
      </c>
      <c r="O467" s="122">
        <f t="shared" si="136"/>
        <v>306029000</v>
      </c>
      <c r="P467" s="57"/>
      <c r="Q467" s="57">
        <v>306029000</v>
      </c>
      <c r="R467" s="121">
        <f t="shared" si="137"/>
        <v>618219000</v>
      </c>
      <c r="S467" s="57"/>
      <c r="T467" s="57">
        <v>618219000</v>
      </c>
      <c r="U467" s="121">
        <f t="shared" si="138"/>
        <v>57738000</v>
      </c>
      <c r="V467" s="57"/>
      <c r="W467" s="57">
        <v>57738000</v>
      </c>
      <c r="X467" s="121"/>
      <c r="Y467" s="121"/>
      <c r="Z467" s="121"/>
      <c r="AA467" s="121"/>
      <c r="AB467" s="121"/>
      <c r="AC467" s="121"/>
      <c r="AD467" s="121"/>
      <c r="AE467" s="121"/>
      <c r="AF467" s="121"/>
      <c r="AG467" s="121"/>
      <c r="AH467" s="121"/>
      <c r="AI467" s="121"/>
      <c r="AJ467" s="121">
        <f t="shared" si="139"/>
        <v>7209077</v>
      </c>
      <c r="AK467" s="59">
        <f>0.3*1295900</f>
        <v>388770</v>
      </c>
      <c r="AL467" s="54">
        <v>44361</v>
      </c>
      <c r="AM467" s="60">
        <v>470</v>
      </c>
      <c r="AN467" s="34">
        <f>1871*2550</f>
        <v>4771050</v>
      </c>
      <c r="AO467" s="125">
        <f t="shared" si="140"/>
        <v>1269000</v>
      </c>
      <c r="AP467" s="59">
        <v>700000</v>
      </c>
      <c r="AQ467" s="100">
        <v>63983981810578</v>
      </c>
      <c r="AR467" s="100">
        <v>733473980000</v>
      </c>
      <c r="AS467" s="100">
        <v>97574293000</v>
      </c>
      <c r="AT467" s="100">
        <v>153591223000</v>
      </c>
      <c r="AU467" s="55">
        <v>29462468</v>
      </c>
      <c r="AV467" s="99">
        <v>5957305652.6000004</v>
      </c>
      <c r="AX467" s="74">
        <f t="shared" si="131"/>
        <v>2.4004636575244822E-3</v>
      </c>
    </row>
    <row r="468" spans="1:52" ht="15">
      <c r="A468" s="28">
        <v>44362</v>
      </c>
      <c r="B468" s="56">
        <v>66063255000</v>
      </c>
      <c r="C468" s="56"/>
      <c r="D468" s="56"/>
      <c r="E468" s="56"/>
      <c r="F468" s="65">
        <f t="shared" si="132"/>
        <v>66063255000</v>
      </c>
      <c r="G468" s="65">
        <f t="shared" si="133"/>
        <v>17837079</v>
      </c>
      <c r="H468" s="58">
        <f t="shared" si="134"/>
        <v>4991814000</v>
      </c>
      <c r="I468" s="57">
        <v>49984500000</v>
      </c>
      <c r="J468" s="57">
        <v>54976314000</v>
      </c>
      <c r="K468" s="57"/>
      <c r="L468" s="58">
        <f t="shared" si="135"/>
        <v>3215971000</v>
      </c>
      <c r="M468" s="57"/>
      <c r="N468" s="57">
        <v>3215971000</v>
      </c>
      <c r="O468" s="122">
        <f t="shared" si="136"/>
        <v>222479000</v>
      </c>
      <c r="P468" s="57"/>
      <c r="Q468" s="57">
        <v>222479000</v>
      </c>
      <c r="R468" s="121">
        <f t="shared" si="137"/>
        <v>586043000</v>
      </c>
      <c r="S468" s="57"/>
      <c r="T468" s="57">
        <v>586043000</v>
      </c>
      <c r="U468" s="121">
        <f t="shared" si="138"/>
        <v>18620000</v>
      </c>
      <c r="V468" s="57"/>
      <c r="W468" s="57">
        <v>18620000</v>
      </c>
      <c r="X468" s="121"/>
      <c r="Y468" s="121"/>
      <c r="Z468" s="121"/>
      <c r="AA468" s="121"/>
      <c r="AB468" s="121"/>
      <c r="AC468" s="121"/>
      <c r="AD468" s="121"/>
      <c r="AE468" s="121"/>
      <c r="AF468" s="121"/>
      <c r="AG468" s="121"/>
      <c r="AH468" s="121"/>
      <c r="AI468" s="121"/>
      <c r="AJ468" s="121">
        <f t="shared" si="139"/>
        <v>9972982</v>
      </c>
      <c r="AK468" s="59">
        <f>(250000*0.3)+300000</f>
        <v>375000</v>
      </c>
      <c r="AL468" s="54">
        <v>44362</v>
      </c>
      <c r="AM468" s="60">
        <v>1503</v>
      </c>
      <c r="AN468" s="34">
        <f>1878*2550</f>
        <v>4788900</v>
      </c>
      <c r="AO468" s="125">
        <f t="shared" si="140"/>
        <v>4058100</v>
      </c>
      <c r="AP468" s="59">
        <v>72100</v>
      </c>
      <c r="AQ468" s="100">
        <v>65175011067388</v>
      </c>
      <c r="AR468" s="100">
        <v>231678816000</v>
      </c>
      <c r="AS468" s="100">
        <v>111324089000</v>
      </c>
      <c r="AT468" s="100">
        <v>177387344000</v>
      </c>
      <c r="AU468" s="55">
        <v>37104161</v>
      </c>
      <c r="AV468" s="99">
        <v>5994409813.6000004</v>
      </c>
      <c r="AX468" s="74">
        <f t="shared" si="131"/>
        <v>2.721707922942883E-3</v>
      </c>
    </row>
    <row r="469" spans="1:52" ht="15">
      <c r="A469" s="28">
        <v>44363</v>
      </c>
      <c r="B469" s="56">
        <v>58948685000</v>
      </c>
      <c r="C469" s="56"/>
      <c r="D469" s="56"/>
      <c r="E469" s="56"/>
      <c r="F469" s="65">
        <f t="shared" si="132"/>
        <v>58948685000</v>
      </c>
      <c r="G469" s="65">
        <f t="shared" si="133"/>
        <v>15916145</v>
      </c>
      <c r="H469" s="58">
        <f t="shared" si="134"/>
        <v>550562000</v>
      </c>
      <c r="I469" s="57">
        <v>9920000000</v>
      </c>
      <c r="J469" s="57">
        <v>10470562000</v>
      </c>
      <c r="K469" s="57"/>
      <c r="L469" s="58">
        <f t="shared" si="135"/>
        <v>2763159000</v>
      </c>
      <c r="M469" s="57"/>
      <c r="N469" s="57">
        <v>2763159000</v>
      </c>
      <c r="O469" s="122">
        <f t="shared" si="136"/>
        <v>80044000</v>
      </c>
      <c r="P469" s="57"/>
      <c r="Q469" s="57">
        <v>80044000</v>
      </c>
      <c r="R469" s="121">
        <f t="shared" si="137"/>
        <v>506083000</v>
      </c>
      <c r="S469" s="57"/>
      <c r="T469" s="57">
        <v>506083000</v>
      </c>
      <c r="U469" s="121">
        <f t="shared" si="138"/>
        <v>158419000</v>
      </c>
      <c r="V469" s="57"/>
      <c r="W469" s="57">
        <v>158419000</v>
      </c>
      <c r="X469" s="121"/>
      <c r="Y469" s="121"/>
      <c r="Z469" s="121"/>
      <c r="AA469" s="121"/>
      <c r="AB469" s="121"/>
      <c r="AC469" s="121"/>
      <c r="AD469" s="121"/>
      <c r="AE469" s="121"/>
      <c r="AF469" s="121"/>
      <c r="AG469" s="121"/>
      <c r="AH469" s="121"/>
      <c r="AI469" s="121"/>
      <c r="AJ469" s="121">
        <f t="shared" si="139"/>
        <v>2223893</v>
      </c>
      <c r="AK469" s="59">
        <f>1015700*0.3</f>
        <v>304710</v>
      </c>
      <c r="AL469" s="54">
        <v>44363</v>
      </c>
      <c r="AM469" s="60">
        <v>1306</v>
      </c>
      <c r="AN469" s="34">
        <f>1490*2550</f>
        <v>3799500</v>
      </c>
      <c r="AO469" s="125">
        <f t="shared" si="140"/>
        <v>3526200</v>
      </c>
      <c r="AP469" s="59"/>
      <c r="AQ469" s="100">
        <v>60802169054920</v>
      </c>
      <c r="AR469" s="100">
        <v>150102228000</v>
      </c>
      <c r="AS469" s="100">
        <v>34476274000</v>
      </c>
      <c r="AT469" s="100">
        <v>93424959000</v>
      </c>
      <c r="AU469" s="55">
        <v>25770448</v>
      </c>
      <c r="AV469" s="99">
        <v>6020180261.6000004</v>
      </c>
      <c r="AX469" s="74">
        <f t="shared" si="131"/>
        <v>1.5365399039566044E-3</v>
      </c>
    </row>
    <row r="470" spans="1:52" ht="15">
      <c r="A470" s="28">
        <v>44364</v>
      </c>
      <c r="B470" s="118">
        <v>31685000000</v>
      </c>
      <c r="C470" s="118"/>
      <c r="D470" s="118">
        <v>1435260000</v>
      </c>
      <c r="E470" s="118"/>
      <c r="F470" s="120">
        <f t="shared" si="132"/>
        <v>33120260000</v>
      </c>
      <c r="G470" s="120">
        <f t="shared" si="133"/>
        <v>8942470</v>
      </c>
      <c r="H470" s="58">
        <f t="shared" si="134"/>
        <v>4901896000</v>
      </c>
      <c r="I470" s="121">
        <v>64075500000</v>
      </c>
      <c r="J470" s="121">
        <v>68977396000</v>
      </c>
      <c r="K470" s="121"/>
      <c r="L470" s="122">
        <f t="shared" si="135"/>
        <v>2635991000</v>
      </c>
      <c r="M470" s="121"/>
      <c r="N470" s="121">
        <v>2635991000</v>
      </c>
      <c r="O470" s="122">
        <f t="shared" si="136"/>
        <v>37619000</v>
      </c>
      <c r="P470" s="121"/>
      <c r="Q470" s="121">
        <v>37619000</v>
      </c>
      <c r="R470" s="121">
        <f t="shared" si="137"/>
        <v>656894000</v>
      </c>
      <c r="S470" s="121"/>
      <c r="T470" s="121">
        <v>656894000</v>
      </c>
      <c r="U470" s="121">
        <f t="shared" si="138"/>
        <v>85321000</v>
      </c>
      <c r="V470" s="121"/>
      <c r="W470" s="121">
        <v>85321000</v>
      </c>
      <c r="X470" s="121"/>
      <c r="Y470" s="121"/>
      <c r="Z470" s="121"/>
      <c r="AA470" s="121"/>
      <c r="AB470" s="121"/>
      <c r="AC470" s="121"/>
      <c r="AD470" s="121"/>
      <c r="AE470" s="121"/>
      <c r="AF470" s="121"/>
      <c r="AG470" s="121"/>
      <c r="AH470" s="121"/>
      <c r="AI470" s="121"/>
      <c r="AJ470" s="121">
        <f t="shared" si="139"/>
        <v>12431904</v>
      </c>
      <c r="AK470" s="124">
        <f>(277400*0.3)+300000</f>
        <v>383220</v>
      </c>
      <c r="AL470" s="54">
        <v>44364</v>
      </c>
      <c r="AM470" s="125">
        <v>463</v>
      </c>
      <c r="AN470" s="54">
        <f>1379*2550</f>
        <v>3516450</v>
      </c>
      <c r="AO470" s="125">
        <f t="shared" si="140"/>
        <v>1250100</v>
      </c>
      <c r="AP470" s="124"/>
      <c r="AQ470" s="101">
        <v>54844740037654</v>
      </c>
      <c r="AR470" s="101">
        <v>199179680000</v>
      </c>
      <c r="AS470" s="101">
        <v>73006385000</v>
      </c>
      <c r="AT470" s="101">
        <v>106126645000</v>
      </c>
      <c r="AU470" s="55">
        <v>26524144</v>
      </c>
      <c r="AV470" s="99">
        <v>6046704405.6000004</v>
      </c>
      <c r="AX470" s="74">
        <f t="shared" si="131"/>
        <v>1.9350377981031195E-3</v>
      </c>
    </row>
    <row r="471" spans="1:52" ht="15">
      <c r="A471" s="41">
        <v>44365</v>
      </c>
      <c r="B471" s="65">
        <v>63987985000</v>
      </c>
      <c r="C471" s="65">
        <v>3081830000</v>
      </c>
      <c r="D471" s="141"/>
      <c r="E471" s="65"/>
      <c r="F471" s="65">
        <f t="shared" si="132"/>
        <v>67069815000</v>
      </c>
      <c r="G471" s="65">
        <f t="shared" si="133"/>
        <v>18108850</v>
      </c>
      <c r="H471" s="58">
        <f t="shared" si="134"/>
        <v>5149895000</v>
      </c>
      <c r="I471" s="58">
        <v>24403600000</v>
      </c>
      <c r="J471" s="58">
        <v>29553495000</v>
      </c>
      <c r="K471" s="58"/>
      <c r="L471" s="58">
        <f t="shared" si="135"/>
        <v>4517546000</v>
      </c>
      <c r="M471" s="58"/>
      <c r="N471" s="58">
        <v>4517546000</v>
      </c>
      <c r="O471" s="58">
        <f t="shared" si="136"/>
        <v>153561000</v>
      </c>
      <c r="P471" s="58"/>
      <c r="Q471" s="58">
        <v>153561000</v>
      </c>
      <c r="R471" s="58">
        <f t="shared" si="137"/>
        <v>564409000</v>
      </c>
      <c r="S471" s="58"/>
      <c r="T471" s="58">
        <v>564409000</v>
      </c>
      <c r="U471" s="58">
        <f t="shared" si="138"/>
        <v>10982000</v>
      </c>
      <c r="V471" s="58"/>
      <c r="W471" s="58">
        <v>10982000</v>
      </c>
      <c r="X471" s="122"/>
      <c r="Y471" s="122"/>
      <c r="Z471" s="122"/>
      <c r="AA471" s="122"/>
      <c r="AB471" s="122"/>
      <c r="AC471" s="122"/>
      <c r="AD471" s="122"/>
      <c r="AE471" s="122"/>
      <c r="AF471" s="122"/>
      <c r="AG471" s="122"/>
      <c r="AH471" s="122"/>
      <c r="AI471" s="122"/>
      <c r="AJ471" s="121">
        <f t="shared" si="139"/>
        <v>5515458</v>
      </c>
      <c r="AK471" s="66">
        <f>(51200*0.3)+300000</f>
        <v>315360</v>
      </c>
      <c r="AL471" s="54">
        <v>44365</v>
      </c>
      <c r="AM471" s="116">
        <v>395</v>
      </c>
      <c r="AN471" s="42">
        <f>1672*2550*3</f>
        <v>12790800</v>
      </c>
      <c r="AO471" s="125">
        <f t="shared" si="140"/>
        <v>1066500</v>
      </c>
      <c r="AP471" s="135">
        <v>700000</v>
      </c>
      <c r="AQ471" s="102">
        <v>58482870758818</v>
      </c>
      <c r="AR471" s="102">
        <v>110708454000</v>
      </c>
      <c r="AS471" s="102">
        <v>61510145000</v>
      </c>
      <c r="AT471" s="102">
        <v>128579960000</v>
      </c>
      <c r="AU471" s="55">
        <v>38496968</v>
      </c>
      <c r="AV471" s="99">
        <v>6085201373.6000004</v>
      </c>
      <c r="AX471" s="74">
        <f t="shared" si="131"/>
        <v>2.1985917984474594E-3</v>
      </c>
    </row>
    <row r="472" spans="1:52" ht="15">
      <c r="A472" s="28">
        <v>44368</v>
      </c>
      <c r="B472" s="56">
        <v>45713130000</v>
      </c>
      <c r="C472" s="56">
        <v>15053310000</v>
      </c>
      <c r="D472" s="56"/>
      <c r="E472" s="56"/>
      <c r="F472" s="65">
        <f t="shared" si="132"/>
        <v>60766440000</v>
      </c>
      <c r="G472" s="65">
        <f t="shared" si="133"/>
        <v>16406939</v>
      </c>
      <c r="H472" s="58">
        <f>J472-I472</f>
        <v>7793159000</v>
      </c>
      <c r="I472" s="57">
        <v>0</v>
      </c>
      <c r="J472" s="57">
        <v>7793159000</v>
      </c>
      <c r="K472" s="57"/>
      <c r="L472" s="58">
        <f t="shared" si="135"/>
        <v>1426732000</v>
      </c>
      <c r="M472" s="57">
        <v>4946000000</v>
      </c>
      <c r="N472" s="57">
        <v>6372732000</v>
      </c>
      <c r="O472" s="58">
        <f t="shared" si="136"/>
        <v>56748000</v>
      </c>
      <c r="P472" s="57"/>
      <c r="Q472" s="57">
        <v>56748000</v>
      </c>
      <c r="R472" s="58">
        <f t="shared" si="137"/>
        <v>739090000</v>
      </c>
      <c r="S472" s="57"/>
      <c r="T472" s="57">
        <v>739090000</v>
      </c>
      <c r="U472" s="58">
        <f t="shared" si="138"/>
        <v>686580000</v>
      </c>
      <c r="V472" s="57"/>
      <c r="W472" s="57">
        <v>686580000</v>
      </c>
      <c r="X472" s="121"/>
      <c r="Y472" s="121"/>
      <c r="Z472" s="121"/>
      <c r="AA472" s="121"/>
      <c r="AB472" s="121"/>
      <c r="AC472" s="121"/>
      <c r="AD472" s="121"/>
      <c r="AE472" s="121"/>
      <c r="AF472" s="121"/>
      <c r="AG472" s="121"/>
      <c r="AH472" s="121"/>
      <c r="AI472" s="121"/>
      <c r="AJ472" s="121">
        <f t="shared" si="139"/>
        <v>2046129</v>
      </c>
      <c r="AK472" s="59">
        <f>657000*0.3</f>
        <v>197100</v>
      </c>
      <c r="AL472" s="54">
        <v>44368</v>
      </c>
      <c r="AM472" s="60">
        <v>551</v>
      </c>
      <c r="AN472" s="34">
        <f>1657*2550</f>
        <v>4225350</v>
      </c>
      <c r="AO472" s="125">
        <f t="shared" si="140"/>
        <v>1487700</v>
      </c>
      <c r="AP472" s="59">
        <v>1400000</v>
      </c>
      <c r="AQ472" s="100">
        <v>55253608321598</v>
      </c>
      <c r="AR472" s="100">
        <v>120040264000</v>
      </c>
      <c r="AS472" s="100">
        <v>16310705000</v>
      </c>
      <c r="AT472" s="100">
        <v>77077145000</v>
      </c>
      <c r="AU472" s="55">
        <v>25763218</v>
      </c>
      <c r="AV472" s="99">
        <v>6110964591.6000004</v>
      </c>
      <c r="AX472" s="74">
        <f t="shared" si="131"/>
        <v>1.3949703438620755E-3</v>
      </c>
    </row>
    <row r="473" spans="1:52" ht="15">
      <c r="A473" s="28">
        <v>44369</v>
      </c>
      <c r="B473" s="56">
        <v>17058935000</v>
      </c>
      <c r="C473" s="56">
        <v>7744300000</v>
      </c>
      <c r="D473" s="56"/>
      <c r="E473" s="56"/>
      <c r="F473" s="65">
        <f t="shared" si="132"/>
        <v>24803235000</v>
      </c>
      <c r="G473" s="65">
        <f t="shared" si="133"/>
        <v>6696873</v>
      </c>
      <c r="H473" s="58">
        <f t="shared" si="134"/>
        <v>11495223000</v>
      </c>
      <c r="I473" s="57"/>
      <c r="J473" s="57">
        <v>11495223000</v>
      </c>
      <c r="K473" s="57"/>
      <c r="L473" s="58">
        <f t="shared" si="135"/>
        <v>3505251000</v>
      </c>
      <c r="M473" s="57">
        <v>9960000000</v>
      </c>
      <c r="N473" s="57">
        <v>13465251000</v>
      </c>
      <c r="O473" s="58">
        <f t="shared" si="136"/>
        <v>298590000</v>
      </c>
      <c r="P473" s="57"/>
      <c r="Q473" s="57">
        <v>298590000</v>
      </c>
      <c r="R473" s="58">
        <f t="shared" si="137"/>
        <v>643722000</v>
      </c>
      <c r="S473" s="57"/>
      <c r="T473" s="57">
        <v>643722000</v>
      </c>
      <c r="U473" s="58">
        <f t="shared" si="138"/>
        <v>31636000</v>
      </c>
      <c r="V473" s="57"/>
      <c r="W473" s="57">
        <v>31636000</v>
      </c>
      <c r="X473" s="121"/>
      <c r="Y473" s="121"/>
      <c r="Z473" s="121"/>
      <c r="AA473" s="121"/>
      <c r="AB473" s="121"/>
      <c r="AC473" s="121"/>
      <c r="AD473" s="121"/>
      <c r="AE473" s="121"/>
      <c r="AF473" s="121"/>
      <c r="AG473" s="121"/>
      <c r="AH473" s="121"/>
      <c r="AI473" s="121"/>
      <c r="AJ473" s="121">
        <f t="shared" si="139"/>
        <v>3518038</v>
      </c>
      <c r="AK473" s="59">
        <f>196500*0.3</f>
        <v>58950</v>
      </c>
      <c r="AL473" s="54">
        <v>44369</v>
      </c>
      <c r="AM473" s="60">
        <v>380</v>
      </c>
      <c r="AN473" s="34">
        <f>1879*2550</f>
        <v>4791450</v>
      </c>
      <c r="AO473" s="125">
        <f t="shared" si="140"/>
        <v>1026000</v>
      </c>
      <c r="AP473" s="59">
        <v>700000</v>
      </c>
      <c r="AQ473" s="100">
        <v>56433374348478</v>
      </c>
      <c r="AR473" s="100">
        <v>244557872000</v>
      </c>
      <c r="AS473" s="100">
        <v>27441896000</v>
      </c>
      <c r="AT473" s="100">
        <v>52245131000</v>
      </c>
      <c r="AU473" s="55">
        <v>16791311</v>
      </c>
      <c r="AV473" s="99">
        <v>6127755902.6000004</v>
      </c>
      <c r="AX473" s="74">
        <f t="shared" si="131"/>
        <v>9.2578428284979992E-4</v>
      </c>
    </row>
    <row r="474" spans="1:52" ht="15">
      <c r="A474" s="28">
        <v>44370</v>
      </c>
      <c r="B474" s="56">
        <v>34001215000</v>
      </c>
      <c r="C474" s="56">
        <v>3792450000</v>
      </c>
      <c r="D474" s="56"/>
      <c r="E474" s="56"/>
      <c r="F474" s="65">
        <f t="shared" si="132"/>
        <v>37793665000</v>
      </c>
      <c r="G474" s="65">
        <f t="shared" si="133"/>
        <v>10204290</v>
      </c>
      <c r="H474" s="58">
        <f t="shared" si="134"/>
        <v>1179814000</v>
      </c>
      <c r="I474" s="57">
        <v>5256300000</v>
      </c>
      <c r="J474" s="57">
        <v>6436114000</v>
      </c>
      <c r="K474" s="57"/>
      <c r="L474" s="58">
        <f t="shared" si="135"/>
        <v>1737363000</v>
      </c>
      <c r="M474" s="57"/>
      <c r="N474" s="57">
        <v>1737363000</v>
      </c>
      <c r="O474" s="58">
        <f t="shared" si="136"/>
        <v>332369000</v>
      </c>
      <c r="P474" s="57">
        <v>4472000000</v>
      </c>
      <c r="Q474" s="57">
        <v>4804369000</v>
      </c>
      <c r="R474" s="58">
        <f t="shared" si="137"/>
        <v>827961000</v>
      </c>
      <c r="S474" s="57"/>
      <c r="T474" s="57">
        <v>827961000</v>
      </c>
      <c r="U474" s="58">
        <f t="shared" si="138"/>
        <v>148208000</v>
      </c>
      <c r="V474" s="57"/>
      <c r="W474" s="57">
        <v>148208000</v>
      </c>
      <c r="X474" s="121"/>
      <c r="Y474" s="121"/>
      <c r="Z474" s="121"/>
      <c r="AA474" s="121"/>
      <c r="AB474" s="121"/>
      <c r="AC474" s="121"/>
      <c r="AD474" s="121"/>
      <c r="AE474" s="121"/>
      <c r="AF474" s="121"/>
      <c r="AG474" s="121"/>
      <c r="AH474" s="121"/>
      <c r="AI474" s="121"/>
      <c r="AJ474" s="121">
        <f t="shared" si="139"/>
        <v>2207471</v>
      </c>
      <c r="AK474" s="59">
        <f>658200*0.3</f>
        <v>197460</v>
      </c>
      <c r="AL474" s="54">
        <v>44370</v>
      </c>
      <c r="AM474" s="60">
        <v>305</v>
      </c>
      <c r="AN474" s="34">
        <f>1818*2550</f>
        <v>4635900</v>
      </c>
      <c r="AO474" s="125">
        <f t="shared" si="140"/>
        <v>823500</v>
      </c>
      <c r="AP474" s="59">
        <v>800000</v>
      </c>
      <c r="AQ474" s="100">
        <v>52290864573656</v>
      </c>
      <c r="AR474" s="100">
        <v>110458658000</v>
      </c>
      <c r="AS474" s="100">
        <v>29684519000</v>
      </c>
      <c r="AT474" s="100">
        <v>67478184000</v>
      </c>
      <c r="AU474" s="55">
        <v>18868621</v>
      </c>
      <c r="AV474" s="99">
        <v>6146624523.6000004</v>
      </c>
      <c r="AX474" s="74">
        <f t="shared" si="131"/>
        <v>1.2904392488089656E-3</v>
      </c>
    </row>
    <row r="475" spans="1:52" ht="15">
      <c r="A475" s="50">
        <v>44371</v>
      </c>
      <c r="B475" s="118">
        <v>64457995000</v>
      </c>
      <c r="C475" s="118"/>
      <c r="D475" s="118"/>
      <c r="E475" s="118"/>
      <c r="F475" s="65">
        <f t="shared" si="132"/>
        <v>64457995000</v>
      </c>
      <c r="G475" s="65">
        <f t="shared" si="133"/>
        <v>17403659</v>
      </c>
      <c r="H475" s="58">
        <f t="shared" si="134"/>
        <v>13928880000</v>
      </c>
      <c r="I475" s="121">
        <v>34267400000</v>
      </c>
      <c r="J475" s="121">
        <v>48196280000</v>
      </c>
      <c r="K475" s="121"/>
      <c r="L475" s="58">
        <f t="shared" si="135"/>
        <v>12712677000</v>
      </c>
      <c r="M475" s="121"/>
      <c r="N475" s="121">
        <v>12712677000</v>
      </c>
      <c r="O475" s="58">
        <f t="shared" si="136"/>
        <v>257954000</v>
      </c>
      <c r="P475" s="121"/>
      <c r="Q475" s="121">
        <v>257954000</v>
      </c>
      <c r="R475" s="58">
        <f t="shared" si="137"/>
        <v>917682000</v>
      </c>
      <c r="S475" s="121"/>
      <c r="T475" s="121">
        <v>917682000</v>
      </c>
      <c r="U475" s="58">
        <f t="shared" si="138"/>
        <v>22332000</v>
      </c>
      <c r="V475" s="121"/>
      <c r="W475" s="121">
        <v>22332000</v>
      </c>
      <c r="X475" s="121"/>
      <c r="Y475" s="121"/>
      <c r="Z475" s="121"/>
      <c r="AA475" s="121"/>
      <c r="AB475" s="121"/>
      <c r="AC475" s="121"/>
      <c r="AD475" s="121"/>
      <c r="AE475" s="121"/>
      <c r="AF475" s="121"/>
      <c r="AG475" s="121"/>
      <c r="AH475" s="121"/>
      <c r="AI475" s="121"/>
      <c r="AJ475" s="121">
        <f t="shared" si="139"/>
        <v>9174801</v>
      </c>
      <c r="AK475" s="124">
        <f>(795400*0.3)+300000</f>
        <v>538620</v>
      </c>
      <c r="AL475" s="54">
        <v>44371</v>
      </c>
      <c r="AM475" s="125">
        <v>472</v>
      </c>
      <c r="AN475" s="54">
        <f>1788*2550</f>
        <v>4559400</v>
      </c>
      <c r="AO475" s="125">
        <f t="shared" si="140"/>
        <v>1274400</v>
      </c>
      <c r="AP475" s="124">
        <v>22847170</v>
      </c>
      <c r="AQ475" s="101">
        <v>43882083516890</v>
      </c>
      <c r="AR475" s="101">
        <v>195651710000</v>
      </c>
      <c r="AS475" s="101">
        <v>80338153000</v>
      </c>
      <c r="AT475" s="101">
        <v>144796148000</v>
      </c>
      <c r="AU475" s="55">
        <v>55798050</v>
      </c>
      <c r="AV475" s="99">
        <v>6202422573.6000004</v>
      </c>
      <c r="AX475" s="74">
        <f t="shared" si="131"/>
        <v>3.2996643822590754E-3</v>
      </c>
    </row>
    <row r="476" spans="1:52" ht="15">
      <c r="A476" s="50">
        <v>44372</v>
      </c>
      <c r="B476" s="65">
        <v>70606716000</v>
      </c>
      <c r="C476" s="65"/>
      <c r="D476" s="141"/>
      <c r="E476" s="65"/>
      <c r="F476" s="65">
        <f t="shared" si="132"/>
        <v>70606716000</v>
      </c>
      <c r="G476" s="65">
        <f t="shared" si="133"/>
        <v>19063813</v>
      </c>
      <c r="H476" s="58">
        <f t="shared" si="134"/>
        <v>17519992000</v>
      </c>
      <c r="I476" s="58">
        <v>22533500000</v>
      </c>
      <c r="J476" s="58">
        <v>40053492000</v>
      </c>
      <c r="K476" s="58"/>
      <c r="L476" s="58">
        <f t="shared" si="135"/>
        <v>8887477000</v>
      </c>
      <c r="M476" s="58">
        <v>7269180000</v>
      </c>
      <c r="N476" s="58">
        <v>16156657000</v>
      </c>
      <c r="O476" s="58">
        <f t="shared" si="136"/>
        <v>37734000</v>
      </c>
      <c r="P476" s="58"/>
      <c r="Q476" s="58">
        <v>37734000</v>
      </c>
      <c r="R476" s="58">
        <f t="shared" si="137"/>
        <v>606867000</v>
      </c>
      <c r="S476" s="58"/>
      <c r="T476" s="58">
        <v>606867000</v>
      </c>
      <c r="U476" s="58">
        <f t="shared" si="138"/>
        <v>162694000</v>
      </c>
      <c r="V476" s="58"/>
      <c r="W476" s="58">
        <v>162694000</v>
      </c>
      <c r="X476" s="122"/>
      <c r="Y476" s="122"/>
      <c r="Z476" s="122"/>
      <c r="AA476" s="122"/>
      <c r="AB476" s="122"/>
      <c r="AC476" s="122"/>
      <c r="AD476" s="122"/>
      <c r="AE476" s="122"/>
      <c r="AF476" s="122"/>
      <c r="AG476" s="122"/>
      <c r="AH476" s="122"/>
      <c r="AI476" s="122"/>
      <c r="AJ476" s="121">
        <f t="shared" si="139"/>
        <v>8303677</v>
      </c>
      <c r="AK476" s="66">
        <f>1581900*0.3</f>
        <v>474570</v>
      </c>
      <c r="AL476" s="54">
        <v>44372</v>
      </c>
      <c r="AM476" s="116">
        <v>492</v>
      </c>
      <c r="AN476" s="42">
        <f>1844*2550*3</f>
        <v>14106600</v>
      </c>
      <c r="AO476" s="125">
        <f t="shared" si="140"/>
        <v>1328400</v>
      </c>
      <c r="AP476" s="135">
        <v>1600000</v>
      </c>
      <c r="AQ476" s="102">
        <v>47246748332320</v>
      </c>
      <c r="AR476" s="102">
        <v>351029304400</v>
      </c>
      <c r="AS476" s="102">
        <v>65014141000</v>
      </c>
      <c r="AT476" s="102">
        <v>135620857000</v>
      </c>
      <c r="AU476" s="55">
        <v>44877060</v>
      </c>
      <c r="AV476" s="99">
        <v>6247299633.6000004</v>
      </c>
      <c r="AX476" s="74">
        <f t="shared" si="131"/>
        <v>2.8704802295828279E-3</v>
      </c>
    </row>
    <row r="477" spans="1:52" ht="15">
      <c r="A477" s="28">
        <v>44375</v>
      </c>
      <c r="B477" s="56">
        <v>62407250000</v>
      </c>
      <c r="C477" s="56">
        <v>5575100000</v>
      </c>
      <c r="D477" s="56"/>
      <c r="E477" s="56"/>
      <c r="F477" s="65">
        <f t="shared" si="132"/>
        <v>67982350000</v>
      </c>
      <c r="G477" s="65">
        <f t="shared" si="133"/>
        <v>18355235</v>
      </c>
      <c r="H477" s="58">
        <f t="shared" si="134"/>
        <v>11550553000</v>
      </c>
      <c r="I477" s="57">
        <v>35462000000</v>
      </c>
      <c r="J477" s="57">
        <v>47012553000</v>
      </c>
      <c r="K477" s="57"/>
      <c r="L477" s="58">
        <f t="shared" si="135"/>
        <v>8581202000</v>
      </c>
      <c r="M477" s="57"/>
      <c r="N477" s="57">
        <v>8581202000</v>
      </c>
      <c r="O477" s="58">
        <f t="shared" si="136"/>
        <v>305294000</v>
      </c>
      <c r="P477" s="57"/>
      <c r="Q477" s="57">
        <v>305294000</v>
      </c>
      <c r="R477" s="58">
        <f>T477-S477</f>
        <v>598538000</v>
      </c>
      <c r="S477" s="57"/>
      <c r="T477" s="57">
        <v>598538000</v>
      </c>
      <c r="U477" s="58">
        <f t="shared" si="138"/>
        <v>330494000</v>
      </c>
      <c r="V477" s="57"/>
      <c r="W477" s="57">
        <v>330494000</v>
      </c>
      <c r="X477" s="121"/>
      <c r="Y477" s="121"/>
      <c r="Z477" s="121"/>
      <c r="AA477" s="121"/>
      <c r="AB477" s="121"/>
      <c r="AC477" s="121"/>
      <c r="AD477" s="121"/>
      <c r="AE477" s="121"/>
      <c r="AF477" s="121"/>
      <c r="AG477" s="121"/>
      <c r="AH477" s="121"/>
      <c r="AI477" s="121"/>
      <c r="AJ477" s="121">
        <f t="shared" si="139"/>
        <v>8690697</v>
      </c>
      <c r="AK477" s="59">
        <f>(327400*0.3)+300000</f>
        <v>398220</v>
      </c>
      <c r="AL477" s="54">
        <v>44375</v>
      </c>
      <c r="AM477" s="60">
        <v>740</v>
      </c>
      <c r="AN477" s="34">
        <f>1622*2550</f>
        <v>4136100</v>
      </c>
      <c r="AO477" s="125">
        <f t="shared" si="140"/>
        <v>1998000</v>
      </c>
      <c r="AP477" s="59">
        <v>700000</v>
      </c>
      <c r="AQ477" s="100">
        <v>55483135857600</v>
      </c>
      <c r="AR477" s="100">
        <v>196145272000</v>
      </c>
      <c r="AS477" s="100">
        <v>57527311000</v>
      </c>
      <c r="AT477" s="100">
        <v>125509661000</v>
      </c>
      <c r="AU477" s="55">
        <v>34278252</v>
      </c>
      <c r="AV477" s="99">
        <v>6281577885.6000004</v>
      </c>
      <c r="AX477" s="74">
        <f t="shared" si="131"/>
        <v>2.2621226983659732E-3</v>
      </c>
    </row>
    <row r="478" spans="1:52" ht="15">
      <c r="A478" s="28">
        <v>44376</v>
      </c>
      <c r="B478" s="56">
        <v>98827340000</v>
      </c>
      <c r="C478" s="56">
        <v>4006820000</v>
      </c>
      <c r="D478" s="56"/>
      <c r="E478" s="56"/>
      <c r="F478" s="65">
        <f t="shared" si="132"/>
        <v>102834160000</v>
      </c>
      <c r="G478" s="65">
        <f t="shared" si="133"/>
        <v>27765223</v>
      </c>
      <c r="H478" s="58">
        <f t="shared" si="134"/>
        <v>17782433000</v>
      </c>
      <c r="I478" s="57">
        <v>87030500000</v>
      </c>
      <c r="J478" s="57">
        <v>104812933000</v>
      </c>
      <c r="K478" s="57"/>
      <c r="L478" s="58">
        <f t="shared" si="135"/>
        <v>11780404000</v>
      </c>
      <c r="M478" s="57"/>
      <c r="N478" s="57">
        <v>11780404000</v>
      </c>
      <c r="O478" s="58">
        <f t="shared" si="136"/>
        <v>793249000</v>
      </c>
      <c r="P478" s="57"/>
      <c r="Q478" s="57">
        <v>793249000</v>
      </c>
      <c r="R478" s="58">
        <f t="shared" si="137"/>
        <v>736779000</v>
      </c>
      <c r="S478" s="57"/>
      <c r="T478" s="57">
        <v>736779000</v>
      </c>
      <c r="U478" s="58">
        <f t="shared" si="138"/>
        <v>2025322000</v>
      </c>
      <c r="V478" s="57"/>
      <c r="W478" s="57">
        <v>2025322000</v>
      </c>
      <c r="X478" s="121"/>
      <c r="Y478" s="121"/>
      <c r="Z478" s="121"/>
      <c r="AA478" s="121"/>
      <c r="AB478" s="121"/>
      <c r="AC478" s="121"/>
      <c r="AD478" s="121"/>
      <c r="AE478" s="121"/>
      <c r="AF478" s="121"/>
      <c r="AG478" s="121"/>
      <c r="AH478" s="121"/>
      <c r="AI478" s="121"/>
      <c r="AJ478" s="121">
        <f t="shared" si="139"/>
        <v>19242254</v>
      </c>
      <c r="AK478" s="59">
        <f>(850900*0.3)+300000</f>
        <v>555270</v>
      </c>
      <c r="AL478" s="54">
        <v>44376</v>
      </c>
      <c r="AM478" s="60">
        <v>1012</v>
      </c>
      <c r="AN478" s="34">
        <f>1298*2550</f>
        <v>3309900</v>
      </c>
      <c r="AO478" s="125">
        <f t="shared" si="140"/>
        <v>2732400</v>
      </c>
      <c r="AP478" s="59"/>
      <c r="AQ478" s="100">
        <v>52703737261200</v>
      </c>
      <c r="AR478" s="100">
        <v>349251260000</v>
      </c>
      <c r="AS478" s="100">
        <v>120721987000</v>
      </c>
      <c r="AT478" s="100">
        <v>223556147000</v>
      </c>
      <c r="AU478" s="55">
        <v>53605047</v>
      </c>
      <c r="AV478" s="99">
        <v>6335182932.6000004</v>
      </c>
      <c r="AX478" s="74">
        <f t="shared" si="131"/>
        <v>4.2417513181665766E-3</v>
      </c>
    </row>
    <row r="479" spans="1:52" ht="15">
      <c r="A479" s="28">
        <v>44377</v>
      </c>
      <c r="B479" s="56">
        <v>48518115000</v>
      </c>
      <c r="C479" s="56">
        <v>21116215000</v>
      </c>
      <c r="D479" s="56"/>
      <c r="E479" s="56"/>
      <c r="F479" s="65">
        <f t="shared" si="132"/>
        <v>69634330000</v>
      </c>
      <c r="G479" s="65">
        <f t="shared" si="133"/>
        <v>18801269</v>
      </c>
      <c r="H479" s="58">
        <f t="shared" si="134"/>
        <v>10291942000</v>
      </c>
      <c r="I479" s="57">
        <v>113025310000</v>
      </c>
      <c r="J479" s="57">
        <v>123317252000</v>
      </c>
      <c r="K479" s="57"/>
      <c r="L479" s="58">
        <f t="shared" si="135"/>
        <v>14657594000</v>
      </c>
      <c r="M479" s="57">
        <v>23074000000</v>
      </c>
      <c r="N479" s="57">
        <v>37731594000</v>
      </c>
      <c r="O479" s="58">
        <f t="shared" si="136"/>
        <v>2631756000</v>
      </c>
      <c r="P479" s="57"/>
      <c r="Q479" s="57">
        <v>2631756000</v>
      </c>
      <c r="R479" s="58">
        <f t="shared" si="137"/>
        <v>790245000</v>
      </c>
      <c r="S479" s="57"/>
      <c r="T479" s="57">
        <v>790245000</v>
      </c>
      <c r="U479" s="58">
        <f t="shared" si="138"/>
        <v>353319000</v>
      </c>
      <c r="V479" s="57"/>
      <c r="W479" s="57">
        <v>353319000</v>
      </c>
      <c r="X479" s="121"/>
      <c r="Y479" s="121"/>
      <c r="Z479" s="121"/>
      <c r="AA479" s="121"/>
      <c r="AB479" s="121"/>
      <c r="AC479" s="121"/>
      <c r="AD479" s="121"/>
      <c r="AE479" s="121"/>
      <c r="AF479" s="121"/>
      <c r="AG479" s="121"/>
      <c r="AH479" s="121"/>
      <c r="AI479" s="121"/>
      <c r="AJ479" s="121">
        <f t="shared" si="139"/>
        <v>27600160</v>
      </c>
      <c r="AK479" s="59">
        <f>(801700*0.3)+300000+35220</f>
        <v>575730</v>
      </c>
      <c r="AL479" s="54">
        <v>44377</v>
      </c>
      <c r="AM479" s="60">
        <v>617</v>
      </c>
      <c r="AN479" s="34">
        <f>1409*2550</f>
        <v>3592950</v>
      </c>
      <c r="AO479" s="125">
        <f t="shared" si="140"/>
        <v>1665900</v>
      </c>
      <c r="AP479" s="59"/>
      <c r="AQ479" s="100">
        <v>49276184472748</v>
      </c>
      <c r="AR479" s="100">
        <v>531736080000</v>
      </c>
      <c r="AS479" s="100">
        <v>168774727000</v>
      </c>
      <c r="AT479" s="100">
        <v>238409057000</v>
      </c>
      <c r="AU479" s="55">
        <v>52236009</v>
      </c>
      <c r="AV479" s="99">
        <v>6387418941.6000004</v>
      </c>
      <c r="AX479" s="74">
        <f t="shared" si="131"/>
        <v>4.8382207257108385E-3</v>
      </c>
    </row>
    <row r="480" spans="1:52" ht="15">
      <c r="A480" s="28">
        <v>44378</v>
      </c>
      <c r="B480" s="118">
        <v>33139525000</v>
      </c>
      <c r="C480" s="118">
        <v>23209045000</v>
      </c>
      <c r="D480" s="118"/>
      <c r="E480" s="118"/>
      <c r="F480" s="65">
        <f t="shared" ref="F480" si="141">SUM(B480:E480)</f>
        <v>56348570000</v>
      </c>
      <c r="G480" s="65">
        <f t="shared" si="133"/>
        <v>15214114</v>
      </c>
      <c r="H480" s="58">
        <f t="shared" si="134"/>
        <v>3499963000</v>
      </c>
      <c r="I480" s="121"/>
      <c r="J480" s="121">
        <v>3499963000</v>
      </c>
      <c r="K480" s="121"/>
      <c r="L480" s="58">
        <f t="shared" si="135"/>
        <v>1927749000</v>
      </c>
      <c r="M480" s="121"/>
      <c r="N480" s="121">
        <v>1927749000</v>
      </c>
      <c r="O480" s="58">
        <f t="shared" si="136"/>
        <v>748586000</v>
      </c>
      <c r="P480" s="121"/>
      <c r="Q480" s="121">
        <v>748586000</v>
      </c>
      <c r="R480" s="58">
        <f t="shared" si="137"/>
        <v>705530000</v>
      </c>
      <c r="S480" s="121"/>
      <c r="T480" s="121">
        <v>705530000</v>
      </c>
      <c r="U480" s="58">
        <f t="shared" si="138"/>
        <v>216065000</v>
      </c>
      <c r="V480" s="121"/>
      <c r="W480" s="121">
        <v>216065000</v>
      </c>
      <c r="X480" s="121"/>
      <c r="Y480" s="121"/>
      <c r="Z480" s="121"/>
      <c r="AA480" s="121"/>
      <c r="AB480" s="121"/>
      <c r="AC480" s="121"/>
      <c r="AD480" s="121"/>
      <c r="AE480" s="121"/>
      <c r="AF480" s="121"/>
      <c r="AG480" s="121"/>
      <c r="AH480" s="121"/>
      <c r="AI480" s="121"/>
      <c r="AJ480" s="121">
        <f t="shared" si="139"/>
        <v>766572</v>
      </c>
      <c r="AK480" s="124">
        <f>285500*0.3</f>
        <v>85650</v>
      </c>
      <c r="AL480" s="54">
        <v>44378</v>
      </c>
      <c r="AM480" s="125">
        <v>414</v>
      </c>
      <c r="AN480" s="54">
        <f>1593*2550</f>
        <v>4062150</v>
      </c>
      <c r="AO480" s="125">
        <f t="shared" si="140"/>
        <v>1117800</v>
      </c>
      <c r="AP480" s="124">
        <f>700000+800000</f>
        <v>1500000</v>
      </c>
      <c r="AQ480" s="101">
        <v>63506680587906</v>
      </c>
      <c r="AR480" s="101">
        <v>345270120000</v>
      </c>
      <c r="AS480" s="101">
        <v>7908646000</v>
      </c>
      <c r="AT480" s="101">
        <v>64257216000</v>
      </c>
      <c r="AU480" s="55">
        <v>22746286</v>
      </c>
      <c r="AV480" s="99">
        <v>6410165227.6000004</v>
      </c>
    </row>
    <row r="481" spans="1:50" ht="15">
      <c r="A481" s="50">
        <v>44379</v>
      </c>
      <c r="B481" s="65">
        <v>27867645000</v>
      </c>
      <c r="C481" s="65">
        <v>33045875000</v>
      </c>
      <c r="D481" s="141"/>
      <c r="E481" s="65"/>
      <c r="F481" s="65">
        <f t="shared" ref="F481:F485" si="142">SUM(B481:E481)</f>
        <v>60913520000</v>
      </c>
      <c r="G481" s="65">
        <f t="shared" si="133"/>
        <v>16446650</v>
      </c>
      <c r="H481" s="58">
        <f>J481-I481</f>
        <v>9791379000</v>
      </c>
      <c r="I481" s="121">
        <v>0</v>
      </c>
      <c r="J481" s="58">
        <v>9791379000</v>
      </c>
      <c r="K481" s="58"/>
      <c r="L481" s="58">
        <f t="shared" si="135"/>
        <v>4997142000</v>
      </c>
      <c r="M481" s="58"/>
      <c r="N481" s="58">
        <v>4997142000</v>
      </c>
      <c r="O481" s="58">
        <f t="shared" si="136"/>
        <v>2014551000</v>
      </c>
      <c r="P481" s="58">
        <v>14022000000</v>
      </c>
      <c r="Q481" s="58">
        <v>16036551000</v>
      </c>
      <c r="R481" s="58">
        <f t="shared" si="137"/>
        <v>606337000</v>
      </c>
      <c r="S481" s="58"/>
      <c r="T481" s="58">
        <v>606337000</v>
      </c>
      <c r="U481" s="58">
        <f t="shared" si="138"/>
        <v>60006000</v>
      </c>
      <c r="V481" s="58"/>
      <c r="W481" s="58">
        <v>60006000</v>
      </c>
      <c r="X481" s="122"/>
      <c r="Y481" s="122"/>
      <c r="Z481" s="122"/>
      <c r="AA481" s="122"/>
      <c r="AB481" s="122"/>
      <c r="AC481" s="122"/>
      <c r="AD481" s="122"/>
      <c r="AE481" s="122"/>
      <c r="AF481" s="122"/>
      <c r="AG481" s="122"/>
      <c r="AH481" s="122"/>
      <c r="AI481" s="122"/>
      <c r="AJ481" s="121">
        <f t="shared" si="139"/>
        <v>4410657</v>
      </c>
      <c r="AK481" s="66">
        <f>297000*0.3</f>
        <v>89100</v>
      </c>
      <c r="AL481" s="54">
        <v>44379</v>
      </c>
      <c r="AM481" s="116">
        <v>672</v>
      </c>
      <c r="AN481" s="42">
        <f>2105*2550*3</f>
        <v>16103250</v>
      </c>
      <c r="AO481" s="125">
        <f t="shared" si="140"/>
        <v>1814400</v>
      </c>
      <c r="AP481" s="135">
        <v>700000</v>
      </c>
      <c r="AQ481" s="102">
        <v>63232404851300</v>
      </c>
      <c r="AR481" s="102">
        <v>184715874200</v>
      </c>
      <c r="AS481" s="102">
        <v>60227073000</v>
      </c>
      <c r="AT481" s="102">
        <v>121140593000</v>
      </c>
      <c r="AU481" s="55">
        <v>39564057</v>
      </c>
      <c r="AV481" s="99">
        <v>6449729284.6000004</v>
      </c>
    </row>
    <row r="482" spans="1:50" ht="15">
      <c r="A482" s="28">
        <v>44382</v>
      </c>
      <c r="B482" s="56">
        <v>10234770000</v>
      </c>
      <c r="C482" s="56"/>
      <c r="D482" s="56"/>
      <c r="E482" s="56"/>
      <c r="F482" s="65">
        <f t="shared" si="142"/>
        <v>10234770000</v>
      </c>
      <c r="G482" s="65">
        <f t="shared" si="133"/>
        <v>2763388</v>
      </c>
      <c r="H482" s="58">
        <f>J482-I482</f>
        <v>5322523000</v>
      </c>
      <c r="I482" s="57">
        <v>15713000000</v>
      </c>
      <c r="J482" s="57">
        <v>21035523000</v>
      </c>
      <c r="K482" s="57"/>
      <c r="L482" s="58">
        <f t="shared" si="135"/>
        <v>10020944000</v>
      </c>
      <c r="M482" s="57"/>
      <c r="N482" s="57">
        <v>10020944000</v>
      </c>
      <c r="O482" s="58">
        <f t="shared" si="136"/>
        <v>1802249000</v>
      </c>
      <c r="P482" s="57"/>
      <c r="Q482" s="57">
        <v>1802249000</v>
      </c>
      <c r="R482" s="58">
        <f t="shared" si="137"/>
        <v>1248300000</v>
      </c>
      <c r="S482" s="57"/>
      <c r="T482" s="57">
        <v>1248300000</v>
      </c>
      <c r="U482" s="58">
        <f t="shared" si="138"/>
        <v>229820000</v>
      </c>
      <c r="V482" s="57"/>
      <c r="W482" s="57">
        <v>229820000</v>
      </c>
      <c r="X482" s="121"/>
      <c r="Y482" s="121"/>
      <c r="Z482" s="121"/>
      <c r="AA482" s="121"/>
      <c r="AB482" s="121"/>
      <c r="AC482" s="121"/>
      <c r="AD482" s="121"/>
      <c r="AE482" s="121"/>
      <c r="AF482" s="121"/>
      <c r="AG482" s="121"/>
      <c r="AH482" s="121"/>
      <c r="AI482" s="121"/>
      <c r="AJ482" s="121">
        <f t="shared" si="139"/>
        <v>4839714</v>
      </c>
      <c r="AK482" s="59">
        <f>980800*0.3</f>
        <v>294240</v>
      </c>
      <c r="AL482" s="54">
        <v>44382</v>
      </c>
      <c r="AM482" s="60">
        <v>288</v>
      </c>
      <c r="AN482" s="34">
        <f>1981*2550</f>
        <v>5051550</v>
      </c>
      <c r="AO482" s="125">
        <f t="shared" si="140"/>
        <v>777600</v>
      </c>
      <c r="AP482" s="59">
        <v>800000</v>
      </c>
      <c r="AQ482" s="100">
        <v>66483610965560</v>
      </c>
      <c r="AR482" s="100">
        <v>246536520000</v>
      </c>
      <c r="AS482" s="100">
        <v>35054851000</v>
      </c>
      <c r="AT482" s="100">
        <v>45289621000</v>
      </c>
      <c r="AU482" s="55">
        <v>14526492</v>
      </c>
      <c r="AV482" s="99">
        <v>6464255776.6000004</v>
      </c>
    </row>
    <row r="483" spans="1:50" ht="15">
      <c r="A483" s="28">
        <v>44383</v>
      </c>
      <c r="B483" s="56">
        <v>18618565000</v>
      </c>
      <c r="C483" s="56"/>
      <c r="D483" s="56"/>
      <c r="E483" s="56"/>
      <c r="F483" s="65">
        <f t="shared" si="142"/>
        <v>18618565000</v>
      </c>
      <c r="G483" s="65">
        <f t="shared" si="133"/>
        <v>5027013</v>
      </c>
      <c r="H483" s="58">
        <f t="shared" ref="H483:H485" si="143">J483-I483</f>
        <v>19892394000</v>
      </c>
      <c r="I483" s="57">
        <v>36279850000</v>
      </c>
      <c r="J483" s="57">
        <v>56172244000</v>
      </c>
      <c r="K483" s="57"/>
      <c r="L483" s="58">
        <f t="shared" si="135"/>
        <v>14843611000</v>
      </c>
      <c r="M483" s="57">
        <v>5353440000</v>
      </c>
      <c r="N483" s="57">
        <v>20197051000</v>
      </c>
      <c r="O483" s="58">
        <f t="shared" si="136"/>
        <v>3742035000</v>
      </c>
      <c r="P483" s="57"/>
      <c r="Q483" s="57">
        <v>3742035000</v>
      </c>
      <c r="R483" s="58">
        <f t="shared" si="137"/>
        <v>822106000</v>
      </c>
      <c r="S483" s="57"/>
      <c r="T483" s="57">
        <v>822106000</v>
      </c>
      <c r="U483" s="58">
        <f t="shared" si="138"/>
        <v>141615000</v>
      </c>
      <c r="V483" s="57"/>
      <c r="W483" s="57">
        <v>141615000</v>
      </c>
      <c r="X483" s="121"/>
      <c r="Y483" s="121"/>
      <c r="Z483" s="121"/>
      <c r="AA483" s="121"/>
      <c r="AB483" s="121"/>
      <c r="AC483" s="121"/>
      <c r="AD483" s="121"/>
      <c r="AE483" s="121"/>
      <c r="AF483" s="121"/>
      <c r="AG483" s="121"/>
      <c r="AH483" s="121"/>
      <c r="AI483" s="121"/>
      <c r="AJ483" s="121">
        <f t="shared" si="139"/>
        <v>11753702</v>
      </c>
      <c r="AK483" s="59">
        <f>(561900*0.3)+300000</f>
        <v>468570</v>
      </c>
      <c r="AL483" s="54">
        <v>44383</v>
      </c>
      <c r="AM483" s="60">
        <v>519</v>
      </c>
      <c r="AN483" s="34">
        <f>1792*2550</f>
        <v>4569600</v>
      </c>
      <c r="AO483" s="125">
        <f t="shared" si="140"/>
        <v>1401300</v>
      </c>
      <c r="AP483" s="59"/>
      <c r="AQ483" s="100">
        <v>69312218411890</v>
      </c>
      <c r="AR483" s="100">
        <v>260417000000</v>
      </c>
      <c r="AS483" s="100">
        <v>90388306000</v>
      </c>
      <c r="AT483" s="100">
        <v>109006871000</v>
      </c>
      <c r="AU483" s="55">
        <v>23220185</v>
      </c>
      <c r="AV483" s="99">
        <v>6487475961.6000004</v>
      </c>
    </row>
    <row r="484" spans="1:50" ht="15">
      <c r="A484" s="28">
        <v>44384</v>
      </c>
      <c r="B484" s="56">
        <v>125289515000</v>
      </c>
      <c r="C484" s="56"/>
      <c r="D484" s="56"/>
      <c r="E484" s="56"/>
      <c r="F484" s="65">
        <f t="shared" si="142"/>
        <v>125289515000</v>
      </c>
      <c r="G484" s="65">
        <f t="shared" si="133"/>
        <v>33828169</v>
      </c>
      <c r="H484" s="58">
        <f t="shared" si="143"/>
        <v>16113749000</v>
      </c>
      <c r="I484" s="57">
        <v>65278500000</v>
      </c>
      <c r="J484" s="57">
        <v>81392249000</v>
      </c>
      <c r="K484" s="57"/>
      <c r="L484" s="58">
        <f t="shared" si="135"/>
        <v>14134330000</v>
      </c>
      <c r="M484" s="57">
        <v>10090150000</v>
      </c>
      <c r="N484" s="57">
        <v>24224480000</v>
      </c>
      <c r="O484" s="58">
        <f t="shared" si="136"/>
        <v>2370400000</v>
      </c>
      <c r="P484" s="57"/>
      <c r="Q484" s="57">
        <v>2370400000</v>
      </c>
      <c r="R484" s="58">
        <f t="shared" si="137"/>
        <v>573069000</v>
      </c>
      <c r="S484" s="57"/>
      <c r="T484" s="57">
        <v>573069000</v>
      </c>
      <c r="U484" s="58">
        <f t="shared" si="138"/>
        <v>94125000</v>
      </c>
      <c r="V484" s="57"/>
      <c r="W484" s="57">
        <v>94125000</v>
      </c>
      <c r="X484" s="121"/>
      <c r="Y484" s="121"/>
      <c r="Z484" s="121"/>
      <c r="AA484" s="121"/>
      <c r="AB484" s="121"/>
      <c r="AC484" s="121"/>
      <c r="AD484" s="121"/>
      <c r="AE484" s="121"/>
      <c r="AF484" s="121"/>
      <c r="AG484" s="121"/>
      <c r="AH484" s="121"/>
      <c r="AI484" s="121"/>
      <c r="AJ484" s="121">
        <f t="shared" si="139"/>
        <v>17161210</v>
      </c>
      <c r="AK484" s="59">
        <f>(331600*0.3)+300000</f>
        <v>399480</v>
      </c>
      <c r="AL484" s="54">
        <v>44384</v>
      </c>
      <c r="AM484" s="60">
        <v>650</v>
      </c>
      <c r="AN484" s="34">
        <f>2164*2550</f>
        <v>5518200</v>
      </c>
      <c r="AO484" s="125">
        <f t="shared" si="140"/>
        <v>1755000</v>
      </c>
      <c r="AP484" s="59"/>
      <c r="AQ484" s="100">
        <v>63795758288848</v>
      </c>
      <c r="AR484" s="100">
        <v>545640300000</v>
      </c>
      <c r="AS484" s="100">
        <v>202250235000</v>
      </c>
      <c r="AT484" s="100">
        <v>327539750000</v>
      </c>
      <c r="AU484" s="55">
        <v>58662059</v>
      </c>
      <c r="AV484" s="99">
        <v>6546138020.6000004</v>
      </c>
    </row>
    <row r="485" spans="1:50" ht="15">
      <c r="A485" s="28">
        <v>44385</v>
      </c>
      <c r="B485" s="118">
        <v>10878855000</v>
      </c>
      <c r="C485" s="118">
        <v>8421655000</v>
      </c>
      <c r="D485" s="118"/>
      <c r="E485" s="118"/>
      <c r="F485" s="65">
        <f t="shared" si="142"/>
        <v>19300510000</v>
      </c>
      <c r="G485" s="65">
        <f t="shared" si="133"/>
        <v>5211138</v>
      </c>
      <c r="H485" s="58">
        <f t="shared" si="143"/>
        <v>10547589000</v>
      </c>
      <c r="I485" s="121">
        <v>66291500000</v>
      </c>
      <c r="J485" s="121">
        <v>76839089000</v>
      </c>
      <c r="K485" s="121"/>
      <c r="L485" s="58">
        <f t="shared" si="135"/>
        <v>5382496000</v>
      </c>
      <c r="M485" s="121"/>
      <c r="N485" s="121">
        <v>5382496000</v>
      </c>
      <c r="O485" s="58">
        <f t="shared" si="136"/>
        <v>940583000</v>
      </c>
      <c r="P485" s="121"/>
      <c r="Q485" s="121">
        <v>940583000</v>
      </c>
      <c r="R485" s="58">
        <f t="shared" si="137"/>
        <v>840055000</v>
      </c>
      <c r="S485" s="121"/>
      <c r="T485" s="121">
        <v>840055000</v>
      </c>
      <c r="U485" s="58">
        <f t="shared" si="138"/>
        <v>254137000</v>
      </c>
      <c r="V485" s="121"/>
      <c r="W485" s="121">
        <v>254137000</v>
      </c>
      <c r="X485" s="121"/>
      <c r="Y485" s="121"/>
      <c r="Z485" s="121"/>
      <c r="AA485" s="121"/>
      <c r="AB485" s="121"/>
      <c r="AC485" s="121"/>
      <c r="AD485" s="121"/>
      <c r="AE485" s="121"/>
      <c r="AF485" s="121"/>
      <c r="AG485" s="121"/>
      <c r="AH485" s="121"/>
      <c r="AI485" s="121"/>
      <c r="AJ485" s="121">
        <f t="shared" si="139"/>
        <v>13872675</v>
      </c>
      <c r="AK485" s="124">
        <f>(530600*0.3)+300000</f>
        <v>459180</v>
      </c>
      <c r="AL485" s="54">
        <v>44385</v>
      </c>
      <c r="AM485" s="125">
        <v>727</v>
      </c>
      <c r="AN485" s="54">
        <f>2613*2550</f>
        <v>6663150</v>
      </c>
      <c r="AO485" s="125">
        <f t="shared" si="140"/>
        <v>1962900</v>
      </c>
      <c r="AP485" s="124">
        <v>700000</v>
      </c>
      <c r="AQ485" s="101">
        <v>48995818579124</v>
      </c>
      <c r="AR485" s="101">
        <v>366606952000</v>
      </c>
      <c r="AS485" s="101">
        <v>96189808000</v>
      </c>
      <c r="AT485" s="101">
        <v>115490318000</v>
      </c>
      <c r="AU485" s="55">
        <v>28869043</v>
      </c>
      <c r="AV485" s="99">
        <v>6575007063.6000004</v>
      </c>
    </row>
    <row r="486" spans="1:50" ht="15">
      <c r="A486" s="28">
        <v>44386</v>
      </c>
      <c r="B486" s="56"/>
      <c r="C486" s="65">
        <v>20989755000</v>
      </c>
      <c r="D486" s="141"/>
      <c r="E486" s="65"/>
      <c r="F486" s="65">
        <f>SUM(C486:E486)</f>
        <v>20989755000</v>
      </c>
      <c r="G486" s="65">
        <f t="shared" si="133"/>
        <v>5667234</v>
      </c>
      <c r="H486" s="58">
        <f>J486-I486</f>
        <v>12945798000</v>
      </c>
      <c r="I486" s="58">
        <f>(12797500000+12802500000)</f>
        <v>25600000000</v>
      </c>
      <c r="J486" s="58">
        <v>38545798000</v>
      </c>
      <c r="K486" s="58"/>
      <c r="L486" s="58">
        <f>N486-M486</f>
        <v>7872496000</v>
      </c>
      <c r="M486" s="58">
        <v>2616000000</v>
      </c>
      <c r="N486" s="58">
        <v>10488496000</v>
      </c>
      <c r="O486" s="58">
        <f>Q486-P486</f>
        <v>1332195000</v>
      </c>
      <c r="P486" s="58"/>
      <c r="Q486" s="58">
        <v>1332195000</v>
      </c>
      <c r="R486" s="58">
        <f>T486-S486</f>
        <v>824410000</v>
      </c>
      <c r="S486" s="58"/>
      <c r="T486" s="58">
        <v>824410000</v>
      </c>
      <c r="U486" s="58">
        <f>W486-V486</f>
        <v>147331000</v>
      </c>
      <c r="V486" s="58"/>
      <c r="W486" s="58">
        <v>147331000</v>
      </c>
      <c r="X486" s="122"/>
      <c r="Y486" s="122"/>
      <c r="Z486" s="122"/>
      <c r="AA486" s="122"/>
      <c r="AB486" s="122"/>
      <c r="AC486" s="122"/>
      <c r="AD486" s="122"/>
      <c r="AE486" s="122"/>
      <c r="AF486" s="122"/>
      <c r="AG486" s="122"/>
      <c r="AH486" s="122"/>
      <c r="AI486" s="122"/>
      <c r="AJ486" s="121">
        <f t="shared" si="139"/>
        <v>7576081</v>
      </c>
      <c r="AK486" s="66">
        <f>490300*0.3</f>
        <v>147090</v>
      </c>
      <c r="AL486" s="54">
        <v>44386</v>
      </c>
      <c r="AM486" s="116">
        <v>577</v>
      </c>
      <c r="AN486" s="42">
        <f>3040*2550*3</f>
        <v>23256000</v>
      </c>
      <c r="AO486" s="125">
        <f t="shared" si="140"/>
        <v>1557900</v>
      </c>
      <c r="AP486" s="135">
        <v>700000</v>
      </c>
      <c r="AQ486" s="102">
        <v>60166606919226</v>
      </c>
      <c r="AR486" s="102">
        <v>335646650000</v>
      </c>
      <c r="AS486" s="102">
        <v>57977399000</v>
      </c>
      <c r="AT486" s="102">
        <v>78967154000</v>
      </c>
      <c r="AU486" s="55">
        <v>38904305</v>
      </c>
      <c r="AV486" s="99">
        <v>6613911368.6000004</v>
      </c>
    </row>
    <row r="487" spans="1:50" ht="15">
      <c r="A487" s="28">
        <v>44389</v>
      </c>
      <c r="B487" s="56">
        <v>118400180000</v>
      </c>
      <c r="C487" s="56">
        <v>13663410000</v>
      </c>
      <c r="D487" s="56"/>
      <c r="E487" s="56"/>
      <c r="F487" s="65">
        <f t="shared" ref="F487:F490" si="144">SUM(B487:E487)</f>
        <v>132063590000</v>
      </c>
      <c r="G487" s="65">
        <f t="shared" si="133"/>
        <v>35657169</v>
      </c>
      <c r="H487" s="58">
        <f>J487-I487</f>
        <v>15194130000</v>
      </c>
      <c r="I487" s="57">
        <v>143876500000</v>
      </c>
      <c r="J487" s="57">
        <v>159070630000</v>
      </c>
      <c r="K487" s="57"/>
      <c r="L487" s="58">
        <f>N487-M487</f>
        <v>1253120000</v>
      </c>
      <c r="M487" s="57">
        <v>7915000000</v>
      </c>
      <c r="N487" s="57">
        <v>9168120000</v>
      </c>
      <c r="O487" s="58">
        <f>Q487-P487</f>
        <v>3284764000</v>
      </c>
      <c r="P487" s="57"/>
      <c r="Q487" s="57">
        <v>3284764000</v>
      </c>
      <c r="R487" s="58">
        <f>T487-S487</f>
        <v>853729000</v>
      </c>
      <c r="S487" s="57"/>
      <c r="T487" s="57">
        <v>853729000</v>
      </c>
      <c r="U487" s="58">
        <f>W487-V487</f>
        <v>413022000</v>
      </c>
      <c r="V487" s="57"/>
      <c r="W487" s="57">
        <v>413022000</v>
      </c>
      <c r="X487" s="121"/>
      <c r="Y487" s="121"/>
      <c r="Z487" s="121"/>
      <c r="AA487" s="121"/>
      <c r="AB487" s="121"/>
      <c r="AC487" s="121"/>
      <c r="AD487" s="121"/>
      <c r="AE487" s="121"/>
      <c r="AF487" s="121"/>
      <c r="AG487" s="121"/>
      <c r="AH487" s="121"/>
      <c r="AI487" s="121"/>
      <c r="AJ487" s="121">
        <f t="shared" si="139"/>
        <v>29590337</v>
      </c>
      <c r="AK487" s="59">
        <f>2660100*0.3-195696</f>
        <v>602334</v>
      </c>
      <c r="AL487" s="54">
        <v>44389</v>
      </c>
      <c r="AM487" s="60">
        <v>2087</v>
      </c>
      <c r="AN487" s="34">
        <f>2895*2550</f>
        <v>7382250</v>
      </c>
      <c r="AO487" s="125">
        <f t="shared" si="140"/>
        <v>5634900</v>
      </c>
      <c r="AP487" s="59">
        <v>600000</v>
      </c>
      <c r="AQ487" s="100">
        <v>74579442340970</v>
      </c>
      <c r="AR487" s="100">
        <v>603547716000</v>
      </c>
      <c r="AS487" s="100">
        <v>208605917000</v>
      </c>
      <c r="AT487" s="100">
        <v>340669507000</v>
      </c>
      <c r="AU487" s="55">
        <v>79466990</v>
      </c>
      <c r="AV487" s="99">
        <v>6693378358.6000004</v>
      </c>
    </row>
    <row r="488" spans="1:50" ht="15">
      <c r="A488" s="28">
        <v>44390</v>
      </c>
      <c r="B488" s="56">
        <v>59099200000</v>
      </c>
      <c r="C488" s="56">
        <v>20274690000</v>
      </c>
      <c r="D488" s="56"/>
      <c r="E488" s="56"/>
      <c r="F488" s="65">
        <f t="shared" si="144"/>
        <v>79373890000</v>
      </c>
      <c r="G488" s="65">
        <f t="shared" si="133"/>
        <v>21430950</v>
      </c>
      <c r="H488" s="58">
        <f t="shared" ref="H488:H490" si="145">J488-I488</f>
        <v>9898531000</v>
      </c>
      <c r="I488" s="57">
        <v>48425000000</v>
      </c>
      <c r="J488" s="57">
        <v>58323531000</v>
      </c>
      <c r="K488" s="57"/>
      <c r="L488" s="58">
        <f t="shared" ref="L488:L490" si="146">N488-M488</f>
        <v>271932000</v>
      </c>
      <c r="M488" s="57"/>
      <c r="N488" s="57">
        <v>271932000</v>
      </c>
      <c r="O488" s="58">
        <f t="shared" ref="O488:O490" si="147">Q488-P488</f>
        <v>2822964000</v>
      </c>
      <c r="P488" s="57"/>
      <c r="Q488" s="57">
        <v>2822964000</v>
      </c>
      <c r="R488" s="58">
        <f t="shared" ref="R488:R490" si="148">T488-S488</f>
        <v>684988000</v>
      </c>
      <c r="S488" s="57"/>
      <c r="T488" s="57">
        <v>684988000</v>
      </c>
      <c r="U488" s="58">
        <f t="shared" ref="U488:U490" si="149">W488-V488</f>
        <v>36023000</v>
      </c>
      <c r="V488" s="57"/>
      <c r="W488" s="57">
        <v>36023000</v>
      </c>
      <c r="X488" s="121"/>
      <c r="Y488" s="121"/>
      <c r="Z488" s="121"/>
      <c r="AA488" s="121"/>
      <c r="AB488" s="121"/>
      <c r="AC488" s="121"/>
      <c r="AD488" s="121"/>
      <c r="AE488" s="121"/>
      <c r="AF488" s="121"/>
      <c r="AG488" s="121"/>
      <c r="AH488" s="121"/>
      <c r="AI488" s="121"/>
      <c r="AJ488" s="121">
        <f t="shared" si="139"/>
        <v>10197659</v>
      </c>
      <c r="AK488" s="59">
        <f>1178300*0.3</f>
        <v>353490</v>
      </c>
      <c r="AL488" s="54">
        <v>44390</v>
      </c>
      <c r="AM488" s="60">
        <v>2074</v>
      </c>
      <c r="AN488" s="34">
        <f>2805*2550</f>
        <v>7152750</v>
      </c>
      <c r="AO488" s="125">
        <f t="shared" si="140"/>
        <v>5599800</v>
      </c>
      <c r="AP488" s="59">
        <v>600000</v>
      </c>
      <c r="AQ488" s="100">
        <v>38918489983572</v>
      </c>
      <c r="AR488" s="100">
        <v>348790472000</v>
      </c>
      <c r="AS488" s="100">
        <v>62818470000</v>
      </c>
      <c r="AT488" s="100">
        <v>142192360000</v>
      </c>
      <c r="AU488" s="55">
        <v>45334649</v>
      </c>
      <c r="AV488" s="99">
        <v>6738713007.6000004</v>
      </c>
    </row>
    <row r="489" spans="1:50" ht="15">
      <c r="A489" s="28">
        <v>44391</v>
      </c>
      <c r="B489" s="56">
        <v>36108830000</v>
      </c>
      <c r="C489" s="56">
        <v>11142735000</v>
      </c>
      <c r="D489" s="56"/>
      <c r="E489" s="56"/>
      <c r="F489" s="65">
        <f t="shared" si="144"/>
        <v>47251565000</v>
      </c>
      <c r="G489" s="65">
        <f t="shared" si="133"/>
        <v>12757923</v>
      </c>
      <c r="H489" s="58">
        <f t="shared" si="145"/>
        <v>8640918000</v>
      </c>
      <c r="I489" s="57">
        <f>2611840000+4737000000</f>
        <v>7348840000</v>
      </c>
      <c r="J489" s="57">
        <v>15989758000</v>
      </c>
      <c r="K489" s="57"/>
      <c r="L489" s="58">
        <f t="shared" si="146"/>
        <v>4465586000</v>
      </c>
      <c r="M489" s="57">
        <v>489240000</v>
      </c>
      <c r="N489" s="57">
        <v>4954826000</v>
      </c>
      <c r="O489" s="58">
        <f t="shared" si="147"/>
        <v>2027633000</v>
      </c>
      <c r="P489" s="57"/>
      <c r="Q489" s="57">
        <v>2027633000</v>
      </c>
      <c r="R489" s="58">
        <f t="shared" si="148"/>
        <v>650180000</v>
      </c>
      <c r="S489" s="57"/>
      <c r="T489" s="57">
        <v>650180000</v>
      </c>
      <c r="U489" s="58">
        <f t="shared" si="149"/>
        <v>381763000</v>
      </c>
      <c r="V489" s="57"/>
      <c r="W489" s="57">
        <v>381763000</v>
      </c>
      <c r="X489" s="121"/>
      <c r="Y489" s="121"/>
      <c r="Z489" s="121"/>
      <c r="AA489" s="121"/>
      <c r="AB489" s="121"/>
      <c r="AC489" s="121"/>
      <c r="AD489" s="121"/>
      <c r="AE489" s="121"/>
      <c r="AF489" s="121"/>
      <c r="AG489" s="121"/>
      <c r="AH489" s="121"/>
      <c r="AI489" s="121"/>
      <c r="AJ489" s="121">
        <f t="shared" si="139"/>
        <v>3156791</v>
      </c>
      <c r="AK489" s="59">
        <f>957300*0.3</f>
        <v>287190</v>
      </c>
      <c r="AL489" s="54">
        <v>44391</v>
      </c>
      <c r="AM489" s="60">
        <v>1288</v>
      </c>
      <c r="AN489" s="34">
        <f>2593*2550</f>
        <v>6612150</v>
      </c>
      <c r="AO489" s="125">
        <f t="shared" si="140"/>
        <v>3477600</v>
      </c>
      <c r="AP489" s="59">
        <v>600000</v>
      </c>
      <c r="AQ489" s="100">
        <v>44662512581338</v>
      </c>
      <c r="AR489" s="100">
        <v>256472778000</v>
      </c>
      <c r="AS489" s="100">
        <v>32461691000</v>
      </c>
      <c r="AT489" s="100">
        <v>79713256000</v>
      </c>
      <c r="AU489" s="55">
        <v>26891654</v>
      </c>
      <c r="AV489" s="99">
        <v>6765604661.6000004</v>
      </c>
    </row>
    <row r="490" spans="1:50" ht="15">
      <c r="A490" s="28">
        <v>44392</v>
      </c>
      <c r="B490" s="118">
        <v>170966215000</v>
      </c>
      <c r="C490" s="118">
        <v>8935395000</v>
      </c>
      <c r="D490" s="118"/>
      <c r="E490" s="118"/>
      <c r="F490" s="65">
        <f t="shared" si="144"/>
        <v>179901610000</v>
      </c>
      <c r="G490" s="65">
        <f t="shared" si="133"/>
        <v>48573435</v>
      </c>
      <c r="H490" s="58">
        <f t="shared" si="145"/>
        <v>4799259000</v>
      </c>
      <c r="I490" s="121"/>
      <c r="J490" s="121">
        <v>4799259000</v>
      </c>
      <c r="K490" s="121"/>
      <c r="L490" s="58">
        <f t="shared" si="146"/>
        <v>8824290000</v>
      </c>
      <c r="M490" s="121"/>
      <c r="N490" s="121">
        <v>8824290000</v>
      </c>
      <c r="O490" s="58">
        <f t="shared" si="147"/>
        <v>1089087000</v>
      </c>
      <c r="P490" s="121"/>
      <c r="Q490" s="121">
        <v>1089087000</v>
      </c>
      <c r="R490" s="58">
        <f t="shared" si="148"/>
        <v>606998000</v>
      </c>
      <c r="S490" s="121"/>
      <c r="T490" s="121">
        <v>606998000</v>
      </c>
      <c r="U490" s="58">
        <f t="shared" si="149"/>
        <v>366736000</v>
      </c>
      <c r="V490" s="121"/>
      <c r="W490" s="121">
        <v>366736000</v>
      </c>
      <c r="X490" s="121"/>
      <c r="Y490" s="121"/>
      <c r="Z490" s="121"/>
      <c r="AA490" s="121"/>
      <c r="AB490" s="121"/>
      <c r="AC490" s="121"/>
      <c r="AD490" s="121"/>
      <c r="AE490" s="121"/>
      <c r="AF490" s="121"/>
      <c r="AG490" s="121"/>
      <c r="AH490" s="121"/>
      <c r="AI490" s="121"/>
      <c r="AJ490" s="121">
        <f t="shared" ref="AJ490:AJ514" si="150">ROUND(H490*0.0108%+I490*0.018%+K490*0.018%+L490*0.0108%+M490*0.018%+O490*0.0108%+P490*0.018%+R490*0.0108%+S490*0.018%+V490*0.018%+U490*0.0108%,0)</f>
        <v>1694128</v>
      </c>
      <c r="AK490" s="124">
        <f>630300*0.3</f>
        <v>189090</v>
      </c>
      <c r="AL490" s="54">
        <v>44392</v>
      </c>
      <c r="AM490" s="125">
        <v>822</v>
      </c>
      <c r="AN490" s="54">
        <v>6800850</v>
      </c>
      <c r="AO490" s="125">
        <f t="shared" si="140"/>
        <v>2219400</v>
      </c>
      <c r="AP490" s="124">
        <v>700000</v>
      </c>
      <c r="AQ490" s="101">
        <v>37035232142316</v>
      </c>
      <c r="AR490" s="101">
        <v>145270548000</v>
      </c>
      <c r="AS490" s="101">
        <v>16265530000</v>
      </c>
      <c r="AT490" s="101">
        <v>196167140000</v>
      </c>
      <c r="AU490" s="55">
        <v>60176903</v>
      </c>
      <c r="AV490" s="99">
        <v>6825781564.6000004</v>
      </c>
    </row>
    <row r="491" spans="1:50" ht="15">
      <c r="A491" s="28">
        <v>44393</v>
      </c>
      <c r="B491" s="56">
        <v>0</v>
      </c>
      <c r="C491" s="65">
        <v>49598325000</v>
      </c>
      <c r="D491" s="141"/>
      <c r="E491" s="65"/>
      <c r="F491" s="65">
        <f t="shared" ref="F491:F515" si="151">SUM(B491:E491)</f>
        <v>49598325000</v>
      </c>
      <c r="G491" s="65">
        <f t="shared" ref="G491:G554" si="152">ROUND(F491*0.027%,0)</f>
        <v>13391548</v>
      </c>
      <c r="H491" s="58">
        <f t="shared" ref="H491:H536" si="153">J491-I491</f>
        <v>2418000</v>
      </c>
      <c r="I491" s="58">
        <f>9678000000+240750000000</f>
        <v>250428000000</v>
      </c>
      <c r="J491" s="58">
        <v>250430418000</v>
      </c>
      <c r="K491" s="58"/>
      <c r="L491" s="58">
        <f t="shared" ref="L491:L505" si="154">N491-M491</f>
        <v>1720670000</v>
      </c>
      <c r="M491" s="58"/>
      <c r="N491" s="58">
        <v>1720670000</v>
      </c>
      <c r="O491" s="58">
        <f t="shared" ref="O491:O541" si="155">Q491-P491</f>
        <v>895708000</v>
      </c>
      <c r="P491" s="58"/>
      <c r="Q491" s="58">
        <v>895708000</v>
      </c>
      <c r="R491" s="58">
        <f t="shared" ref="R491:R541" si="156">T491-S491</f>
        <v>862867000</v>
      </c>
      <c r="S491" s="58"/>
      <c r="T491" s="58">
        <v>862867000</v>
      </c>
      <c r="U491" s="58">
        <f t="shared" ref="U491:U505" si="157">W491-V491</f>
        <v>253881000</v>
      </c>
      <c r="V491" s="58"/>
      <c r="W491" s="58">
        <v>253881000</v>
      </c>
      <c r="X491" s="122"/>
      <c r="Y491" s="122"/>
      <c r="Z491" s="122"/>
      <c r="AA491" s="122"/>
      <c r="AB491" s="122"/>
      <c r="AC491" s="122"/>
      <c r="AD491" s="122"/>
      <c r="AE491" s="122"/>
      <c r="AF491" s="122"/>
      <c r="AG491" s="122"/>
      <c r="AH491" s="122"/>
      <c r="AI491" s="122"/>
      <c r="AJ491" s="121">
        <f t="shared" si="150"/>
        <v>45480479</v>
      </c>
      <c r="AK491" s="66">
        <f>(82800*0.3)+300000</f>
        <v>324840</v>
      </c>
      <c r="AL491" s="54">
        <v>44393</v>
      </c>
      <c r="AM491" s="116">
        <v>335</v>
      </c>
      <c r="AN491" s="42">
        <f>1680*2550*3</f>
        <v>12852000</v>
      </c>
      <c r="AO491" s="125">
        <f t="shared" si="140"/>
        <v>904500</v>
      </c>
      <c r="AP491" s="135">
        <v>1400000</v>
      </c>
      <c r="AQ491" s="102">
        <v>37838727580384</v>
      </c>
      <c r="AR491" s="102">
        <v>671606004000</v>
      </c>
      <c r="AS491" s="102">
        <v>254901304000</v>
      </c>
      <c r="AT491" s="102">
        <v>304499629000</v>
      </c>
      <c r="AU491" s="55">
        <v>74353367</v>
      </c>
      <c r="AV491" s="99">
        <v>6900134931.6000004</v>
      </c>
    </row>
    <row r="492" spans="1:50" ht="15">
      <c r="A492" s="28">
        <v>44396</v>
      </c>
      <c r="B492" s="56">
        <v>9352950000</v>
      </c>
      <c r="C492" s="56">
        <v>22984805000</v>
      </c>
      <c r="D492" s="56"/>
      <c r="E492" s="56"/>
      <c r="F492" s="65">
        <f t="shared" si="151"/>
        <v>32337755000</v>
      </c>
      <c r="G492" s="65">
        <f t="shared" si="152"/>
        <v>8731194</v>
      </c>
      <c r="H492" s="58">
        <f t="shared" si="153"/>
        <v>4876786000</v>
      </c>
      <c r="I492" s="57"/>
      <c r="J492" s="57">
        <v>4876786000</v>
      </c>
      <c r="K492" s="57"/>
      <c r="L492" s="58">
        <f t="shared" si="154"/>
        <v>15845363000</v>
      </c>
      <c r="M492" s="57"/>
      <c r="N492" s="57">
        <v>15845363000</v>
      </c>
      <c r="O492" s="58">
        <f t="shared" si="155"/>
        <v>919409000</v>
      </c>
      <c r="P492" s="57"/>
      <c r="Q492" s="57">
        <v>919409000</v>
      </c>
      <c r="R492" s="58">
        <f t="shared" si="156"/>
        <v>769688000</v>
      </c>
      <c r="S492" s="57"/>
      <c r="T492" s="57">
        <v>769688000</v>
      </c>
      <c r="U492" s="58">
        <f t="shared" si="157"/>
        <v>433942000</v>
      </c>
      <c r="V492" s="57"/>
      <c r="W492" s="57">
        <v>433942000</v>
      </c>
      <c r="X492" s="121"/>
      <c r="Y492" s="121"/>
      <c r="Z492" s="121"/>
      <c r="AA492" s="121"/>
      <c r="AB492" s="121"/>
      <c r="AC492" s="121"/>
      <c r="AD492" s="121"/>
      <c r="AE492" s="121"/>
      <c r="AF492" s="121"/>
      <c r="AG492" s="121"/>
      <c r="AH492" s="121"/>
      <c r="AI492" s="121"/>
      <c r="AJ492" s="121">
        <f t="shared" si="150"/>
        <v>2467280</v>
      </c>
      <c r="AK492" s="59">
        <f>521300*0.3</f>
        <v>156390</v>
      </c>
      <c r="AL492" s="54">
        <v>44396</v>
      </c>
      <c r="AM492" s="60">
        <v>383</v>
      </c>
      <c r="AN492" s="34">
        <f>2550*1851</f>
        <v>4720050</v>
      </c>
      <c r="AO492" s="125">
        <f t="shared" si="140"/>
        <v>1034100</v>
      </c>
      <c r="AP492" s="59">
        <v>700000</v>
      </c>
      <c r="AQ492" s="100">
        <v>52161463751144</v>
      </c>
      <c r="AR492" s="100">
        <v>696059560000</v>
      </c>
      <c r="AS492" s="100">
        <v>23399074000</v>
      </c>
      <c r="AT492" s="100">
        <v>55736829000</v>
      </c>
      <c r="AU492" s="55">
        <v>17809014</v>
      </c>
      <c r="AV492" s="99">
        <v>6917943945.6000004</v>
      </c>
    </row>
    <row r="493" spans="1:50" ht="15">
      <c r="A493" s="28">
        <v>44397</v>
      </c>
      <c r="B493" s="56">
        <v>17102170000</v>
      </c>
      <c r="C493" s="56">
        <v>25113940000</v>
      </c>
      <c r="D493" s="56"/>
      <c r="E493" s="56"/>
      <c r="F493" s="65">
        <f t="shared" si="151"/>
        <v>42216110000</v>
      </c>
      <c r="G493" s="65">
        <f t="shared" si="152"/>
        <v>11398350</v>
      </c>
      <c r="H493" s="58">
        <f t="shared" si="153"/>
        <v>11041913000</v>
      </c>
      <c r="I493" s="57">
        <f>9202000000+2302550000</f>
        <v>11504550000</v>
      </c>
      <c r="J493" s="57">
        <v>22546463000</v>
      </c>
      <c r="K493" s="57"/>
      <c r="L493" s="58">
        <f t="shared" si="154"/>
        <v>9661053000</v>
      </c>
      <c r="M493" s="57"/>
      <c r="N493" s="57">
        <v>9661053000</v>
      </c>
      <c r="O493" s="58">
        <f t="shared" si="155"/>
        <v>1353293000</v>
      </c>
      <c r="P493" s="57"/>
      <c r="Q493" s="57">
        <v>1353293000</v>
      </c>
      <c r="R493" s="58">
        <f t="shared" si="156"/>
        <v>574255000</v>
      </c>
      <c r="S493" s="57"/>
      <c r="T493" s="57">
        <v>574255000</v>
      </c>
      <c r="U493" s="58">
        <f t="shared" si="157"/>
        <v>60040000</v>
      </c>
      <c r="V493" s="57"/>
      <c r="W493" s="57">
        <v>60040000</v>
      </c>
      <c r="X493" s="121"/>
      <c r="Y493" s="121"/>
      <c r="Z493" s="121"/>
      <c r="AA493" s="121"/>
      <c r="AB493" s="121"/>
      <c r="AC493" s="121"/>
      <c r="AD493" s="121"/>
      <c r="AE493" s="121"/>
      <c r="AF493" s="121"/>
      <c r="AG493" s="121"/>
      <c r="AH493" s="121"/>
      <c r="AI493" s="121"/>
      <c r="AJ493" s="121">
        <f t="shared" si="150"/>
        <v>4521399</v>
      </c>
      <c r="AK493" s="59">
        <f>816000*0.3</f>
        <v>244800</v>
      </c>
      <c r="AL493" s="54">
        <v>44397</v>
      </c>
      <c r="AM493" s="60">
        <v>406</v>
      </c>
      <c r="AN493" s="34">
        <f>2550*2095</f>
        <v>5342250</v>
      </c>
      <c r="AO493" s="125">
        <f t="shared" si="140"/>
        <v>1096200</v>
      </c>
      <c r="AP493" s="59">
        <v>700000</v>
      </c>
      <c r="AQ493" s="100">
        <v>42724460320334</v>
      </c>
      <c r="AR493" s="100">
        <v>269682104000</v>
      </c>
      <c r="AS493" s="100">
        <v>35432483000</v>
      </c>
      <c r="AT493" s="100">
        <v>77648593000</v>
      </c>
      <c r="AU493" s="55">
        <v>23302999</v>
      </c>
      <c r="AV493" s="99">
        <v>6941246944.6000004</v>
      </c>
      <c r="AX493" s="75">
        <f>AT493/AQ493</f>
        <v>1.8174271229599228E-3</v>
      </c>
    </row>
    <row r="494" spans="1:50" ht="15">
      <c r="A494" s="28">
        <v>44398</v>
      </c>
      <c r="B494" s="56">
        <v>41480935000</v>
      </c>
      <c r="C494" s="56">
        <v>7587825000</v>
      </c>
      <c r="D494" s="56"/>
      <c r="E494" s="56"/>
      <c r="F494" s="65">
        <f t="shared" si="151"/>
        <v>49068760000</v>
      </c>
      <c r="G494" s="65">
        <f t="shared" si="152"/>
        <v>13248565</v>
      </c>
      <c r="H494" s="58">
        <f t="shared" si="153"/>
        <v>4276529000</v>
      </c>
      <c r="I494" s="57"/>
      <c r="J494" s="57">
        <v>4276529000</v>
      </c>
      <c r="K494" s="57"/>
      <c r="L494" s="58">
        <f t="shared" si="154"/>
        <v>12711645000</v>
      </c>
      <c r="M494" s="57"/>
      <c r="N494" s="57">
        <v>12711645000</v>
      </c>
      <c r="O494" s="58">
        <f t="shared" si="155"/>
        <v>788626000</v>
      </c>
      <c r="P494" s="57"/>
      <c r="Q494" s="57">
        <v>788626000</v>
      </c>
      <c r="R494" s="58">
        <f t="shared" si="156"/>
        <v>574284000</v>
      </c>
      <c r="S494" s="57"/>
      <c r="T494" s="57">
        <v>574284000</v>
      </c>
      <c r="U494" s="58">
        <f t="shared" si="157"/>
        <v>129930000</v>
      </c>
      <c r="V494" s="57"/>
      <c r="W494" s="57">
        <v>129930000</v>
      </c>
      <c r="X494" s="121"/>
      <c r="Y494" s="121"/>
      <c r="Z494" s="121"/>
      <c r="AA494" s="121"/>
      <c r="AB494" s="121"/>
      <c r="AC494" s="121"/>
      <c r="AD494" s="121"/>
      <c r="AE494" s="121"/>
      <c r="AF494" s="121"/>
      <c r="AG494" s="121"/>
      <c r="AH494" s="121"/>
      <c r="AI494" s="121"/>
      <c r="AJ494" s="121">
        <f t="shared" si="150"/>
        <v>1995950</v>
      </c>
      <c r="AK494" s="59">
        <f>1402300*0.3</f>
        <v>420690</v>
      </c>
      <c r="AL494" s="54">
        <v>44398</v>
      </c>
      <c r="AM494" s="60">
        <v>448</v>
      </c>
      <c r="AN494" s="34">
        <f>2550*1801</f>
        <v>4592550</v>
      </c>
      <c r="AO494" s="125">
        <f t="shared" si="140"/>
        <v>1209600</v>
      </c>
      <c r="AP494" s="59">
        <v>700000</v>
      </c>
      <c r="AQ494" s="100">
        <v>36416282527042</v>
      </c>
      <c r="AR494" s="100">
        <v>165916054000</v>
      </c>
      <c r="AS494" s="100">
        <v>20192639000</v>
      </c>
      <c r="AT494" s="100">
        <v>69261399000</v>
      </c>
      <c r="AU494" s="55">
        <v>22167355</v>
      </c>
      <c r="AV494" s="99">
        <v>6963414299.6000004</v>
      </c>
    </row>
    <row r="495" spans="1:50" ht="15">
      <c r="A495" s="28">
        <v>44399</v>
      </c>
      <c r="B495" s="118">
        <v>34623795000</v>
      </c>
      <c r="C495" s="118"/>
      <c r="D495" s="118"/>
      <c r="E495" s="118"/>
      <c r="F495" s="65">
        <f t="shared" si="151"/>
        <v>34623795000</v>
      </c>
      <c r="G495" s="65">
        <f t="shared" si="152"/>
        <v>9348425</v>
      </c>
      <c r="H495" s="58">
        <f t="shared" si="153"/>
        <v>14028603000</v>
      </c>
      <c r="I495" s="121"/>
      <c r="J495" s="121">
        <v>14028603000</v>
      </c>
      <c r="K495" s="121"/>
      <c r="L495" s="58">
        <f t="shared" si="154"/>
        <v>12991428000</v>
      </c>
      <c r="M495" s="121"/>
      <c r="N495" s="121">
        <v>12991428000</v>
      </c>
      <c r="O495" s="58">
        <f t="shared" si="155"/>
        <v>722133000</v>
      </c>
      <c r="P495" s="121"/>
      <c r="Q495" s="121">
        <v>722133000</v>
      </c>
      <c r="R495" s="58">
        <f t="shared" si="156"/>
        <v>785546000</v>
      </c>
      <c r="S495" s="121"/>
      <c r="T495" s="121">
        <v>785546000</v>
      </c>
      <c r="U495" s="58">
        <f t="shared" si="157"/>
        <v>364210000</v>
      </c>
      <c r="V495" s="121"/>
      <c r="W495" s="121">
        <v>364210000</v>
      </c>
      <c r="X495" s="121"/>
      <c r="Y495" s="121"/>
      <c r="Z495" s="121"/>
      <c r="AA495" s="121"/>
      <c r="AB495" s="121"/>
      <c r="AC495" s="121"/>
      <c r="AD495" s="121"/>
      <c r="AE495" s="121"/>
      <c r="AF495" s="121"/>
      <c r="AG495" s="121"/>
      <c r="AH495" s="121"/>
      <c r="AI495" s="121"/>
      <c r="AJ495" s="121">
        <f t="shared" si="150"/>
        <v>3120327</v>
      </c>
      <c r="AK495" s="124">
        <f>296100*0.3</f>
        <v>88830</v>
      </c>
      <c r="AL495" s="54">
        <v>44399</v>
      </c>
      <c r="AM495" s="125">
        <v>440</v>
      </c>
      <c r="AN495" s="54">
        <f>2550*2075</f>
        <v>5291250</v>
      </c>
      <c r="AO495" s="125">
        <f t="shared" si="140"/>
        <v>1188000</v>
      </c>
      <c r="AP495" s="124"/>
      <c r="AQ495" s="101">
        <v>40324257349646</v>
      </c>
      <c r="AR495" s="101">
        <v>161967548000</v>
      </c>
      <c r="AS495" s="101">
        <v>29538366000</v>
      </c>
      <c r="AT495" s="101">
        <v>64162161000</v>
      </c>
      <c r="AU495" s="55">
        <v>19036832</v>
      </c>
      <c r="AV495" s="99">
        <v>6982451131.6000004</v>
      </c>
    </row>
    <row r="496" spans="1:50" ht="15">
      <c r="A496" s="28">
        <v>44400</v>
      </c>
      <c r="B496" s="56">
        <v>36850290000</v>
      </c>
      <c r="C496" s="65"/>
      <c r="D496" s="141"/>
      <c r="E496" s="65"/>
      <c r="F496" s="65">
        <f t="shared" si="151"/>
        <v>36850290000</v>
      </c>
      <c r="G496" s="65">
        <f t="shared" si="152"/>
        <v>9949578</v>
      </c>
      <c r="H496" s="58">
        <f t="shared" si="153"/>
        <v>2586764000</v>
      </c>
      <c r="I496" s="58"/>
      <c r="J496" s="58">
        <v>2586764000</v>
      </c>
      <c r="K496" s="58"/>
      <c r="L496" s="58">
        <f t="shared" si="154"/>
        <v>12995586000</v>
      </c>
      <c r="M496" s="58"/>
      <c r="N496" s="58">
        <v>12995586000</v>
      </c>
      <c r="O496" s="58">
        <f t="shared" si="155"/>
        <v>1433146000</v>
      </c>
      <c r="P496" s="58"/>
      <c r="Q496" s="58">
        <v>1433146000</v>
      </c>
      <c r="R496" s="58">
        <f t="shared" si="156"/>
        <v>694723000</v>
      </c>
      <c r="S496" s="58"/>
      <c r="T496" s="58">
        <v>694723000</v>
      </c>
      <c r="U496" s="58">
        <f t="shared" si="157"/>
        <v>134588000</v>
      </c>
      <c r="V496" s="58"/>
      <c r="W496" s="58">
        <v>134588000</v>
      </c>
      <c r="X496" s="122"/>
      <c r="Y496" s="122"/>
      <c r="Z496" s="122"/>
      <c r="AA496" s="122"/>
      <c r="AB496" s="122"/>
      <c r="AC496" s="122"/>
      <c r="AD496" s="122"/>
      <c r="AE496" s="122"/>
      <c r="AF496" s="122"/>
      <c r="AG496" s="122"/>
      <c r="AH496" s="122"/>
      <c r="AI496" s="122"/>
      <c r="AJ496" s="121">
        <f t="shared" si="150"/>
        <v>1927239</v>
      </c>
      <c r="AK496" s="66">
        <f>759700*0.3</f>
        <v>227910</v>
      </c>
      <c r="AL496" s="54">
        <v>44400</v>
      </c>
      <c r="AM496" s="116">
        <v>360</v>
      </c>
      <c r="AN496" s="42">
        <f>2550*2035*3</f>
        <v>15567750</v>
      </c>
      <c r="AO496" s="125">
        <f t="shared" si="140"/>
        <v>972000</v>
      </c>
      <c r="AP496" s="135">
        <v>28570055</v>
      </c>
      <c r="AQ496" s="102">
        <v>45641996555194</v>
      </c>
      <c r="AR496" s="102">
        <v>97188328000</v>
      </c>
      <c r="AS496" s="102">
        <v>18875011000</v>
      </c>
      <c r="AT496" s="102">
        <v>55725301000</v>
      </c>
      <c r="AU496" s="55">
        <v>57214532</v>
      </c>
      <c r="AV496" s="99">
        <v>7039665663.6000004</v>
      </c>
    </row>
    <row r="497" spans="1:50" ht="15">
      <c r="A497" s="28">
        <v>44403</v>
      </c>
      <c r="B497" s="56">
        <v>45841200000</v>
      </c>
      <c r="C497" s="56">
        <v>4497240000</v>
      </c>
      <c r="D497" s="56"/>
      <c r="E497" s="56"/>
      <c r="F497" s="65">
        <f t="shared" si="151"/>
        <v>50338440000</v>
      </c>
      <c r="G497" s="65">
        <f t="shared" si="152"/>
        <v>13591379</v>
      </c>
      <c r="H497" s="58">
        <f t="shared" si="153"/>
        <v>10854926000</v>
      </c>
      <c r="I497" s="57"/>
      <c r="J497" s="57">
        <v>10854926000</v>
      </c>
      <c r="K497" s="57"/>
      <c r="L497" s="58">
        <f t="shared" si="154"/>
        <v>18538855000</v>
      </c>
      <c r="M497" s="57"/>
      <c r="N497" s="57">
        <v>18538855000</v>
      </c>
      <c r="O497" s="58">
        <f t="shared" si="155"/>
        <v>2941379000</v>
      </c>
      <c r="P497" s="57"/>
      <c r="Q497" s="57">
        <v>2941379000</v>
      </c>
      <c r="R497" s="58">
        <f t="shared" si="156"/>
        <v>1201069000</v>
      </c>
      <c r="S497" s="57"/>
      <c r="T497" s="57">
        <v>1201069000</v>
      </c>
      <c r="U497" s="58">
        <f t="shared" si="157"/>
        <v>145004000</v>
      </c>
      <c r="V497" s="57"/>
      <c r="W497" s="57">
        <v>145004000</v>
      </c>
      <c r="X497" s="121"/>
      <c r="Y497" s="121"/>
      <c r="Z497" s="121"/>
      <c r="AA497" s="121"/>
      <c r="AB497" s="121"/>
      <c r="AC497" s="121"/>
      <c r="AD497" s="121"/>
      <c r="AE497" s="121"/>
      <c r="AF497" s="121"/>
      <c r="AG497" s="121"/>
      <c r="AH497" s="121"/>
      <c r="AI497" s="121"/>
      <c r="AJ497" s="121">
        <f t="shared" si="150"/>
        <v>3637573</v>
      </c>
      <c r="AK497" s="59">
        <f>1280300*0.3</f>
        <v>384090</v>
      </c>
      <c r="AL497" s="54">
        <v>44403</v>
      </c>
      <c r="AM497" s="60">
        <v>583</v>
      </c>
      <c r="AN497" s="34">
        <f>2550*2024</f>
        <v>5161200</v>
      </c>
      <c r="AO497" s="125">
        <f t="shared" si="140"/>
        <v>1574100</v>
      </c>
      <c r="AP497" s="59">
        <v>600000</v>
      </c>
      <c r="AQ497" s="100">
        <v>37734426157588</v>
      </c>
      <c r="AR497" s="100">
        <v>116064726000</v>
      </c>
      <c r="AS497" s="100">
        <v>34630781000</v>
      </c>
      <c r="AT497" s="100">
        <v>84969221000</v>
      </c>
      <c r="AU497" s="55">
        <v>24948342</v>
      </c>
      <c r="AV497" s="99">
        <v>7064614005.6000004</v>
      </c>
    </row>
    <row r="498" spans="1:50" ht="15">
      <c r="A498" s="28">
        <v>44404</v>
      </c>
      <c r="B498" s="56">
        <v>27240665000</v>
      </c>
      <c r="C498" s="56"/>
      <c r="D498" s="56"/>
      <c r="E498" s="56"/>
      <c r="F498" s="65">
        <f t="shared" si="151"/>
        <v>27240665000</v>
      </c>
      <c r="G498" s="65">
        <f t="shared" si="152"/>
        <v>7354980</v>
      </c>
      <c r="H498" s="58">
        <f t="shared" si="153"/>
        <v>18717962000</v>
      </c>
      <c r="I498" s="57">
        <v>4765600000</v>
      </c>
      <c r="J498" s="57">
        <v>23483562000</v>
      </c>
      <c r="K498" s="57"/>
      <c r="L498" s="58">
        <f t="shared" si="154"/>
        <v>4434369000</v>
      </c>
      <c r="M498" s="57"/>
      <c r="N498" s="57">
        <v>4434369000</v>
      </c>
      <c r="O498" s="58">
        <f t="shared" si="155"/>
        <v>1620501000</v>
      </c>
      <c r="P498" s="57"/>
      <c r="Q498" s="57">
        <v>1620501000</v>
      </c>
      <c r="R498" s="58">
        <f t="shared" si="156"/>
        <v>602569000</v>
      </c>
      <c r="S498" s="57"/>
      <c r="T498" s="57">
        <v>602569000</v>
      </c>
      <c r="U498" s="58">
        <f t="shared" si="157"/>
        <v>1144927000</v>
      </c>
      <c r="V498" s="57"/>
      <c r="W498" s="57">
        <v>1144927000</v>
      </c>
      <c r="X498" s="121"/>
      <c r="Y498" s="121"/>
      <c r="Z498" s="121"/>
      <c r="AA498" s="121"/>
      <c r="AB498" s="121"/>
      <c r="AC498" s="121"/>
      <c r="AD498" s="121"/>
      <c r="AE498" s="121"/>
      <c r="AF498" s="121"/>
      <c r="AG498" s="121"/>
      <c r="AH498" s="121"/>
      <c r="AI498" s="121"/>
      <c r="AJ498" s="121">
        <f t="shared" si="150"/>
        <v>3722003</v>
      </c>
      <c r="AK498" s="59">
        <f>1296900*0.3</f>
        <v>389070</v>
      </c>
      <c r="AL498" s="54">
        <v>44404</v>
      </c>
      <c r="AM498" s="60">
        <v>418</v>
      </c>
      <c r="AN498" s="34">
        <f>2550*1872</f>
        <v>4773600</v>
      </c>
      <c r="AO498" s="125">
        <f t="shared" si="140"/>
        <v>1128600</v>
      </c>
      <c r="AP498" s="59">
        <v>1600000</v>
      </c>
      <c r="AQ498" s="100">
        <v>44051300245120</v>
      </c>
      <c r="AR498" s="100">
        <v>120515238000</v>
      </c>
      <c r="AS498" s="100">
        <v>37284436000</v>
      </c>
      <c r="AT498" s="100">
        <v>64525101000</v>
      </c>
      <c r="AU498" s="55">
        <v>18968253</v>
      </c>
      <c r="AV498" s="99">
        <v>7083582258.6000004</v>
      </c>
    </row>
    <row r="499" spans="1:50" ht="15">
      <c r="A499" s="28">
        <v>44405</v>
      </c>
      <c r="B499" s="56">
        <v>15801495000</v>
      </c>
      <c r="C499" s="56"/>
      <c r="D499" s="56"/>
      <c r="E499" s="56"/>
      <c r="F499" s="65">
        <f t="shared" si="151"/>
        <v>15801495000</v>
      </c>
      <c r="G499" s="65">
        <f t="shared" si="152"/>
        <v>4266404</v>
      </c>
      <c r="H499" s="58">
        <f t="shared" si="153"/>
        <v>7834726000</v>
      </c>
      <c r="I499" s="57"/>
      <c r="J499" s="57">
        <v>7834726000</v>
      </c>
      <c r="K499" s="57"/>
      <c r="L499" s="58">
        <f t="shared" si="154"/>
        <v>13254755000</v>
      </c>
      <c r="M499" s="57"/>
      <c r="N499" s="57">
        <v>13254755000</v>
      </c>
      <c r="O499" s="58">
        <f t="shared" si="155"/>
        <v>4342950000</v>
      </c>
      <c r="P499" s="57"/>
      <c r="Q499" s="57">
        <v>4342950000</v>
      </c>
      <c r="R499" s="58">
        <f t="shared" si="156"/>
        <v>535835000</v>
      </c>
      <c r="S499" s="57"/>
      <c r="T499" s="57">
        <v>535835000</v>
      </c>
      <c r="U499" s="58">
        <f t="shared" si="157"/>
        <v>72102000</v>
      </c>
      <c r="V499" s="57"/>
      <c r="W499" s="57">
        <v>72102000</v>
      </c>
      <c r="X499" s="121"/>
      <c r="Y499" s="121"/>
      <c r="Z499" s="121"/>
      <c r="AA499" s="121"/>
      <c r="AB499" s="121"/>
      <c r="AC499" s="121"/>
      <c r="AD499" s="121"/>
      <c r="AE499" s="121"/>
      <c r="AF499" s="121"/>
      <c r="AG499" s="121"/>
      <c r="AH499" s="121"/>
      <c r="AI499" s="121"/>
      <c r="AJ499" s="121">
        <f t="shared" si="150"/>
        <v>2812360</v>
      </c>
      <c r="AK499" s="59">
        <f>498300*0.3</f>
        <v>149490</v>
      </c>
      <c r="AL499" s="54">
        <v>44405</v>
      </c>
      <c r="AM499" s="60">
        <v>348</v>
      </c>
      <c r="AN499" s="34">
        <f>2550*1914</f>
        <v>4880700</v>
      </c>
      <c r="AO499" s="125">
        <f t="shared" si="140"/>
        <v>939600</v>
      </c>
      <c r="AP499" s="59"/>
      <c r="AQ499" s="100">
        <v>32140110314298</v>
      </c>
      <c r="AR499" s="100">
        <v>220150982000</v>
      </c>
      <c r="AS499" s="100">
        <v>26668544000</v>
      </c>
      <c r="AT499" s="100">
        <v>42470039000</v>
      </c>
      <c r="AU499" s="55">
        <v>13048554</v>
      </c>
      <c r="AV499" s="99">
        <v>7096630812.6000004</v>
      </c>
    </row>
    <row r="500" spans="1:50" ht="15">
      <c r="A500" s="28">
        <v>44406</v>
      </c>
      <c r="B500" s="118">
        <v>1592455000</v>
      </c>
      <c r="C500" s="118">
        <v>22741335000</v>
      </c>
      <c r="D500" s="118"/>
      <c r="E500" s="118"/>
      <c r="F500" s="65">
        <f t="shared" si="151"/>
        <v>24333790000</v>
      </c>
      <c r="G500" s="65">
        <f t="shared" si="152"/>
        <v>6570123</v>
      </c>
      <c r="H500" s="58">
        <f t="shared" si="153"/>
        <v>8478071000</v>
      </c>
      <c r="I500" s="121">
        <v>81972750000</v>
      </c>
      <c r="J500" s="121">
        <v>90450821000</v>
      </c>
      <c r="K500" s="121"/>
      <c r="L500" s="58">
        <f t="shared" si="154"/>
        <v>29937100000</v>
      </c>
      <c r="M500" s="121"/>
      <c r="N500" s="121">
        <v>29937100000</v>
      </c>
      <c r="O500" s="58">
        <f t="shared" si="155"/>
        <v>460596000</v>
      </c>
      <c r="P500" s="121"/>
      <c r="Q500" s="121">
        <v>460596000</v>
      </c>
      <c r="R500" s="58">
        <f t="shared" si="156"/>
        <v>547969000</v>
      </c>
      <c r="S500" s="121"/>
      <c r="T500" s="121">
        <v>547969000</v>
      </c>
      <c r="U500" s="58">
        <f t="shared" si="157"/>
        <v>230449000</v>
      </c>
      <c r="V500" s="121"/>
      <c r="W500" s="121">
        <v>230449000</v>
      </c>
      <c r="X500" s="121"/>
      <c r="Y500" s="121"/>
      <c r="Z500" s="121"/>
      <c r="AA500" s="121"/>
      <c r="AB500" s="121"/>
      <c r="AC500" s="121"/>
      <c r="AD500" s="121"/>
      <c r="AE500" s="121"/>
      <c r="AF500" s="121"/>
      <c r="AG500" s="121"/>
      <c r="AH500" s="121"/>
      <c r="AI500" s="121"/>
      <c r="AJ500" s="121">
        <f t="shared" si="150"/>
        <v>19037747</v>
      </c>
      <c r="AK500" s="124">
        <f>958300*0.3</f>
        <v>287490</v>
      </c>
      <c r="AL500" s="54">
        <v>44406</v>
      </c>
      <c r="AM500" s="125">
        <v>1008</v>
      </c>
      <c r="AN500" s="54">
        <f>2550*2620</f>
        <v>6681000</v>
      </c>
      <c r="AO500" s="125">
        <f t="shared" si="140"/>
        <v>2721600</v>
      </c>
      <c r="AP500" s="124">
        <v>700000</v>
      </c>
      <c r="AQ500" s="101">
        <v>39335053958224</v>
      </c>
      <c r="AR500" s="101">
        <v>1569915322000</v>
      </c>
      <c r="AS500" s="101">
        <v>595467433000</v>
      </c>
      <c r="AT500" s="101">
        <v>619801223000</v>
      </c>
      <c r="AU500" s="55">
        <v>35997960</v>
      </c>
      <c r="AV500" s="99">
        <v>7132628772.6000004</v>
      </c>
    </row>
    <row r="501" spans="1:50" ht="15">
      <c r="A501" s="28">
        <v>44407</v>
      </c>
      <c r="B501" s="56">
        <v>20984680000</v>
      </c>
      <c r="C501" s="65"/>
      <c r="D501" s="141"/>
      <c r="E501" s="65"/>
      <c r="F501" s="65">
        <f t="shared" si="151"/>
        <v>20984680000</v>
      </c>
      <c r="G501" s="65">
        <f t="shared" si="152"/>
        <v>5665864</v>
      </c>
      <c r="H501" s="58">
        <f t="shared" si="153"/>
        <v>40100940000</v>
      </c>
      <c r="I501" s="58">
        <v>0</v>
      </c>
      <c r="J501" s="58">
        <v>40100940000</v>
      </c>
      <c r="K501" s="58"/>
      <c r="L501" s="58">
        <f t="shared" si="154"/>
        <v>16158795000</v>
      </c>
      <c r="M501" s="58">
        <v>0</v>
      </c>
      <c r="N501" s="58">
        <v>16158795000</v>
      </c>
      <c r="O501" s="58">
        <f t="shared" si="155"/>
        <v>1315587000</v>
      </c>
      <c r="P501" s="58"/>
      <c r="Q501" s="58">
        <v>1315587000</v>
      </c>
      <c r="R501" s="58">
        <f t="shared" si="156"/>
        <v>866749000</v>
      </c>
      <c r="S501" s="58"/>
      <c r="T501" s="58">
        <v>866749000</v>
      </c>
      <c r="U501" s="58">
        <f t="shared" si="157"/>
        <v>912269000</v>
      </c>
      <c r="V501" s="58"/>
      <c r="W501" s="58">
        <v>912269000</v>
      </c>
      <c r="X501" s="122"/>
      <c r="Y501" s="122"/>
      <c r="Z501" s="122"/>
      <c r="AA501" s="122"/>
      <c r="AB501" s="122"/>
      <c r="AC501" s="122"/>
      <c r="AD501" s="122"/>
      <c r="AE501" s="122"/>
      <c r="AF501" s="122"/>
      <c r="AG501" s="122"/>
      <c r="AH501" s="122"/>
      <c r="AI501" s="122"/>
      <c r="AJ501" s="121">
        <f t="shared" si="150"/>
        <v>6410269</v>
      </c>
      <c r="AK501" s="66">
        <f>(1184100*0.3)+300000</f>
        <v>655230</v>
      </c>
      <c r="AL501" s="54">
        <v>44407</v>
      </c>
      <c r="AM501" s="116">
        <v>558</v>
      </c>
      <c r="AN501" s="42">
        <f>2096*2550*2</f>
        <v>10689600</v>
      </c>
      <c r="AO501" s="125">
        <f t="shared" si="140"/>
        <v>1506600</v>
      </c>
      <c r="AP501" s="135">
        <v>600000</v>
      </c>
      <c r="AQ501" s="55">
        <f>VLOOKUP($A501,[1]Sheet1!$B$4:$AL$1000,31,0)</f>
        <v>0</v>
      </c>
      <c r="AR501" s="55">
        <f>VLOOKUP($A501,[1]Sheet1!$B$4:$AL$1000,32,0)</f>
        <v>0</v>
      </c>
      <c r="AS501" s="55">
        <f>VLOOKUP($A501,[1]Sheet1!$B$4:$AL$1000,33,0)</f>
        <v>0</v>
      </c>
      <c r="AT501" s="55">
        <f>VLOOKUP($A501,[1]Sheet1!$B$4:$AL$1000,34,0)</f>
        <v>0</v>
      </c>
      <c r="AU501" s="55">
        <v>25527563</v>
      </c>
      <c r="AV501" s="99">
        <v>7158156335.6000004</v>
      </c>
    </row>
    <row r="502" spans="1:50" ht="15">
      <c r="A502" s="28">
        <v>44410</v>
      </c>
      <c r="B502" s="56">
        <v>3149750000</v>
      </c>
      <c r="C502" s="56"/>
      <c r="D502" s="56"/>
      <c r="E502" s="56"/>
      <c r="F502" s="65">
        <f t="shared" si="151"/>
        <v>3149750000</v>
      </c>
      <c r="G502" s="65">
        <f t="shared" si="152"/>
        <v>850433</v>
      </c>
      <c r="H502" s="58">
        <f t="shared" si="153"/>
        <v>28314629000</v>
      </c>
      <c r="I502" s="57"/>
      <c r="J502" s="57">
        <v>28314629000</v>
      </c>
      <c r="K502" s="57"/>
      <c r="L502" s="58">
        <f t="shared" si="154"/>
        <v>2571978000</v>
      </c>
      <c r="M502" s="57"/>
      <c r="N502" s="57">
        <v>2571978000</v>
      </c>
      <c r="O502" s="58">
        <f t="shared" si="155"/>
        <v>2261985000</v>
      </c>
      <c r="P502" s="57"/>
      <c r="Q502" s="57">
        <v>2261985000</v>
      </c>
      <c r="R502" s="58">
        <f t="shared" si="156"/>
        <v>3495472000</v>
      </c>
      <c r="S502" s="57"/>
      <c r="T502" s="57">
        <v>3495472000</v>
      </c>
      <c r="U502" s="58">
        <f t="shared" si="157"/>
        <v>127694000</v>
      </c>
      <c r="V502" s="57"/>
      <c r="W502" s="57">
        <v>127694000</v>
      </c>
      <c r="X502" s="121"/>
      <c r="Y502" s="121"/>
      <c r="Z502" s="121"/>
      <c r="AA502" s="121"/>
      <c r="AB502" s="121"/>
      <c r="AC502" s="121"/>
      <c r="AD502" s="121"/>
      <c r="AE502" s="121"/>
      <c r="AF502" s="121"/>
      <c r="AG502" s="121"/>
      <c r="AH502" s="121"/>
      <c r="AI502" s="121"/>
      <c r="AJ502" s="121">
        <f t="shared" si="150"/>
        <v>3971350</v>
      </c>
      <c r="AK502" s="59">
        <f>(384500*0.3)+300000</f>
        <v>415350</v>
      </c>
      <c r="AL502" s="54">
        <v>44410</v>
      </c>
      <c r="AM502" s="60">
        <v>282</v>
      </c>
      <c r="AN502" s="34">
        <f>(2550*1886)+5344800</f>
        <v>10154100</v>
      </c>
      <c r="AO502" s="125">
        <f t="shared" si="140"/>
        <v>761400</v>
      </c>
      <c r="AP502" s="59"/>
      <c r="AQ502" s="100">
        <v>47388428538090</v>
      </c>
      <c r="AR502" s="100">
        <v>244498960000</v>
      </c>
      <c r="AS502" s="100">
        <v>47619126000</v>
      </c>
      <c r="AT502" s="100">
        <v>50768876000</v>
      </c>
      <c r="AU502" s="55">
        <v>16152633</v>
      </c>
      <c r="AV502" s="99">
        <v>7174308968.6000004</v>
      </c>
      <c r="AX502" s="74">
        <f t="shared" ref="AX502:AX507" si="158">AT502/AQ502</f>
        <v>1.071334871532886E-3</v>
      </c>
    </row>
    <row r="503" spans="1:50" ht="15">
      <c r="A503" s="28">
        <v>44411</v>
      </c>
      <c r="B503" s="56">
        <v>0</v>
      </c>
      <c r="C503" s="56"/>
      <c r="D503" s="56"/>
      <c r="E503" s="56"/>
      <c r="F503" s="65">
        <f t="shared" si="151"/>
        <v>0</v>
      </c>
      <c r="G503" s="65">
        <f t="shared" si="152"/>
        <v>0</v>
      </c>
      <c r="H503" s="58">
        <f t="shared" si="153"/>
        <v>28234798000</v>
      </c>
      <c r="I503" s="57"/>
      <c r="J503" s="57">
        <v>28234798000</v>
      </c>
      <c r="K503" s="57"/>
      <c r="L503" s="58">
        <f t="shared" si="154"/>
        <v>5574949000</v>
      </c>
      <c r="M503" s="57"/>
      <c r="N503" s="57">
        <v>5574949000</v>
      </c>
      <c r="O503" s="58">
        <f t="shared" si="155"/>
        <v>2081361000</v>
      </c>
      <c r="P503" s="57"/>
      <c r="Q503" s="57">
        <v>2081361000</v>
      </c>
      <c r="R503" s="58">
        <f t="shared" si="156"/>
        <v>1439024000</v>
      </c>
      <c r="S503" s="57"/>
      <c r="T503" s="57">
        <v>1439024000</v>
      </c>
      <c r="U503" s="58">
        <f t="shared" si="157"/>
        <v>891237000</v>
      </c>
      <c r="V503" s="57"/>
      <c r="W503" s="57">
        <v>891237000</v>
      </c>
      <c r="X503" s="121"/>
      <c r="Y503" s="121"/>
      <c r="Z503" s="121"/>
      <c r="AA503" s="121"/>
      <c r="AB503" s="121"/>
      <c r="AC503" s="121"/>
      <c r="AD503" s="121"/>
      <c r="AE503" s="121"/>
      <c r="AF503" s="121"/>
      <c r="AG503" s="121"/>
      <c r="AH503" s="121"/>
      <c r="AI503" s="121"/>
      <c r="AJ503" s="121">
        <f t="shared" si="150"/>
        <v>4127908</v>
      </c>
      <c r="AK503" s="59">
        <f>737500*0.3</f>
        <v>221250</v>
      </c>
      <c r="AL503" s="54">
        <v>44411</v>
      </c>
      <c r="AM503" s="60">
        <v>266</v>
      </c>
      <c r="AN503" s="34">
        <f>2550*1870</f>
        <v>4768500</v>
      </c>
      <c r="AO503" s="125">
        <f t="shared" si="140"/>
        <v>718200</v>
      </c>
      <c r="AP503" s="59"/>
      <c r="AQ503" s="100">
        <v>51991670456610</v>
      </c>
      <c r="AR503" s="100">
        <v>191301991000</v>
      </c>
      <c r="AS503" s="100">
        <v>39021992000</v>
      </c>
      <c r="AT503" s="100">
        <v>39021992000</v>
      </c>
      <c r="AU503" s="55">
        <v>9835858</v>
      </c>
      <c r="AV503" s="99">
        <v>7184144826.6000004</v>
      </c>
      <c r="AX503" s="74">
        <f t="shared" si="158"/>
        <v>7.5054314772528936E-4</v>
      </c>
    </row>
    <row r="504" spans="1:50" ht="15">
      <c r="A504" s="28">
        <v>44412</v>
      </c>
      <c r="B504" s="56">
        <v>6417770000</v>
      </c>
      <c r="C504" s="56"/>
      <c r="D504" s="56"/>
      <c r="E504" s="56"/>
      <c r="F504" s="65">
        <f t="shared" si="151"/>
        <v>6417770000</v>
      </c>
      <c r="G504" s="65">
        <f t="shared" si="152"/>
        <v>1732798</v>
      </c>
      <c r="H504" s="58">
        <f t="shared" si="153"/>
        <v>36056665000</v>
      </c>
      <c r="I504" s="57"/>
      <c r="J504" s="57">
        <v>36056665000</v>
      </c>
      <c r="K504" s="57"/>
      <c r="L504" s="58">
        <f t="shared" si="154"/>
        <v>20566590000</v>
      </c>
      <c r="M504" s="57"/>
      <c r="N504" s="57">
        <v>20566590000</v>
      </c>
      <c r="O504" s="58">
        <f t="shared" si="155"/>
        <v>1939064000</v>
      </c>
      <c r="P504" s="57"/>
      <c r="Q504" s="57">
        <v>1939064000</v>
      </c>
      <c r="R504" s="58">
        <f t="shared" si="156"/>
        <v>1446472000</v>
      </c>
      <c r="S504" s="57"/>
      <c r="T504" s="57">
        <v>1446472000</v>
      </c>
      <c r="U504" s="58">
        <f t="shared" si="157"/>
        <v>394006000</v>
      </c>
      <c r="V504" s="57"/>
      <c r="W504" s="57">
        <v>394006000</v>
      </c>
      <c r="X504" s="121"/>
      <c r="Y504" s="121"/>
      <c r="Z504" s="121"/>
      <c r="AA504" s="121"/>
      <c r="AB504" s="121"/>
      <c r="AC504" s="121"/>
      <c r="AD504" s="121"/>
      <c r="AE504" s="121"/>
      <c r="AF504" s="121"/>
      <c r="AG504" s="121"/>
      <c r="AH504" s="121"/>
      <c r="AI504" s="121"/>
      <c r="AJ504" s="121">
        <f t="shared" si="150"/>
        <v>6523502</v>
      </c>
      <c r="AK504" s="59">
        <f>1090000*0.3</f>
        <v>327000</v>
      </c>
      <c r="AL504" s="54">
        <v>44412</v>
      </c>
      <c r="AM504" s="60">
        <v>452</v>
      </c>
      <c r="AN504" s="34">
        <f>2550*1936</f>
        <v>4936800</v>
      </c>
      <c r="AO504" s="125">
        <f t="shared" si="140"/>
        <v>1220400</v>
      </c>
      <c r="AP504" s="59"/>
      <c r="AQ504" s="100">
        <v>50702271375678</v>
      </c>
      <c r="AR504" s="100">
        <v>220772820000</v>
      </c>
      <c r="AS504" s="100">
        <v>64413586000</v>
      </c>
      <c r="AT504" s="100">
        <v>70831356000</v>
      </c>
      <c r="AU504" s="55">
        <v>14740500</v>
      </c>
      <c r="AV504" s="99">
        <v>7198885326.6000004</v>
      </c>
      <c r="AX504" s="74">
        <f t="shared" si="158"/>
        <v>1.3970055793985192E-3</v>
      </c>
    </row>
    <row r="505" spans="1:50" ht="15">
      <c r="A505" s="28">
        <v>44413</v>
      </c>
      <c r="B505" s="118">
        <v>40905875000</v>
      </c>
      <c r="C505" s="118"/>
      <c r="D505" s="118"/>
      <c r="E505" s="118"/>
      <c r="F505" s="65">
        <f t="shared" si="151"/>
        <v>40905875000</v>
      </c>
      <c r="G505" s="65">
        <f t="shared" si="152"/>
        <v>11044586</v>
      </c>
      <c r="H505" s="58">
        <f t="shared" si="153"/>
        <v>21897198000</v>
      </c>
      <c r="I505" s="121"/>
      <c r="J505" s="121">
        <v>21897198000</v>
      </c>
      <c r="K505" s="121"/>
      <c r="L505" s="58">
        <f t="shared" si="154"/>
        <v>11544995000</v>
      </c>
      <c r="M505" s="121"/>
      <c r="N505" s="121">
        <v>11544995000</v>
      </c>
      <c r="O505" s="58">
        <f t="shared" si="155"/>
        <v>822353000</v>
      </c>
      <c r="P505" s="121"/>
      <c r="Q505" s="121">
        <v>822353000</v>
      </c>
      <c r="R505" s="58">
        <f t="shared" si="156"/>
        <v>1627415000</v>
      </c>
      <c r="S505" s="121"/>
      <c r="T505" s="121">
        <v>1627415000</v>
      </c>
      <c r="U505" s="58">
        <f t="shared" si="157"/>
        <v>116775000</v>
      </c>
      <c r="V505" s="121"/>
      <c r="W505" s="121">
        <v>116775000</v>
      </c>
      <c r="X505" s="121"/>
      <c r="Y505" s="121"/>
      <c r="Z505" s="121"/>
      <c r="AA505" s="121"/>
      <c r="AB505" s="121"/>
      <c r="AC505" s="121"/>
      <c r="AD505" s="121"/>
      <c r="AE505" s="121"/>
      <c r="AF505" s="121"/>
      <c r="AG505" s="121"/>
      <c r="AH505" s="121"/>
      <c r="AI505" s="121"/>
      <c r="AJ505" s="121">
        <f t="shared" si="150"/>
        <v>3888943</v>
      </c>
      <c r="AK505" s="124">
        <f>1064400*0.3</f>
        <v>319320</v>
      </c>
      <c r="AL505" s="54">
        <v>44413</v>
      </c>
      <c r="AM505" s="125">
        <v>518</v>
      </c>
      <c r="AN505" s="54">
        <f>2550*2078</f>
        <v>5298900</v>
      </c>
      <c r="AO505" s="125">
        <f t="shared" si="140"/>
        <v>1398600</v>
      </c>
      <c r="AP505" s="124"/>
      <c r="AQ505" s="101">
        <v>49116081787186</v>
      </c>
      <c r="AR505" s="101">
        <v>258963986000</v>
      </c>
      <c r="AS505" s="101">
        <v>51629985000</v>
      </c>
      <c r="AT505" s="101">
        <v>92535860000</v>
      </c>
      <c r="AU505" s="55">
        <v>21950349</v>
      </c>
      <c r="AV505" s="99">
        <v>7220835675.6000004</v>
      </c>
      <c r="AX505" s="74">
        <f t="shared" si="158"/>
        <v>1.8840236564664626E-3</v>
      </c>
    </row>
    <row r="506" spans="1:50" ht="15">
      <c r="A506" s="28">
        <v>44414</v>
      </c>
      <c r="B506" s="56">
        <v>23203487000</v>
      </c>
      <c r="C506" s="65"/>
      <c r="D506" s="141"/>
      <c r="E506" s="65"/>
      <c r="F506" s="65">
        <f t="shared" si="151"/>
        <v>23203487000</v>
      </c>
      <c r="G506" s="65">
        <f t="shared" si="152"/>
        <v>6264941</v>
      </c>
      <c r="H506" s="58">
        <f t="shared" si="153"/>
        <v>10868596000</v>
      </c>
      <c r="I506" s="58"/>
      <c r="J506" s="58">
        <v>10868596000</v>
      </c>
      <c r="K506" s="58"/>
      <c r="L506" s="58">
        <f>N506-M506</f>
        <v>13478238000</v>
      </c>
      <c r="M506" s="58"/>
      <c r="N506" s="58">
        <v>13478238000</v>
      </c>
      <c r="O506" s="58">
        <f t="shared" si="155"/>
        <v>3369101000</v>
      </c>
      <c r="P506" s="58"/>
      <c r="Q506" s="58">
        <v>3369101000</v>
      </c>
      <c r="R506" s="58">
        <f t="shared" si="156"/>
        <v>1909030000</v>
      </c>
      <c r="S506" s="58"/>
      <c r="T506" s="58">
        <v>1909030000</v>
      </c>
      <c r="U506" s="58">
        <f>W506-V506</f>
        <v>199186000</v>
      </c>
      <c r="V506" s="58"/>
      <c r="W506" s="58">
        <v>199186000</v>
      </c>
      <c r="X506" s="122"/>
      <c r="Y506" s="122"/>
      <c r="Z506" s="122"/>
      <c r="AA506" s="122"/>
      <c r="AB506" s="122"/>
      <c r="AC506" s="122"/>
      <c r="AD506" s="122"/>
      <c r="AE506" s="122"/>
      <c r="AF506" s="122"/>
      <c r="AG506" s="122"/>
      <c r="AH506" s="122"/>
      <c r="AI506" s="122"/>
      <c r="AJ506" s="121">
        <f t="shared" si="150"/>
        <v>3221008</v>
      </c>
      <c r="AK506" s="66">
        <f>717100*0.3</f>
        <v>215130</v>
      </c>
      <c r="AL506" s="54">
        <v>44414</v>
      </c>
      <c r="AM506" s="116">
        <v>376</v>
      </c>
      <c r="AN506" s="42">
        <f>2550*3*2230</f>
        <v>17059500</v>
      </c>
      <c r="AO506" s="125">
        <f t="shared" si="140"/>
        <v>1015200</v>
      </c>
      <c r="AP506" s="135"/>
      <c r="AQ506" s="102">
        <v>57090969553334</v>
      </c>
      <c r="AR506" s="102">
        <v>106250332000</v>
      </c>
      <c r="AS506" s="102">
        <v>37567323000</v>
      </c>
      <c r="AT506" s="102">
        <v>60770810000</v>
      </c>
      <c r="AU506" s="55">
        <v>27775779</v>
      </c>
      <c r="AV506" s="99">
        <v>7248611454.6000004</v>
      </c>
      <c r="AX506" s="74">
        <f t="shared" si="158"/>
        <v>1.0644557357399286E-3</v>
      </c>
    </row>
    <row r="507" spans="1:50" ht="15">
      <c r="A507" s="28">
        <v>44417</v>
      </c>
      <c r="B507" s="56">
        <v>12839520000</v>
      </c>
      <c r="C507" s="56"/>
      <c r="D507" s="56"/>
      <c r="E507" s="56"/>
      <c r="F507" s="65">
        <f t="shared" si="151"/>
        <v>12839520000</v>
      </c>
      <c r="G507" s="65">
        <f t="shared" si="152"/>
        <v>3466670</v>
      </c>
      <c r="H507" s="58">
        <f t="shared" si="153"/>
        <v>19359312000</v>
      </c>
      <c r="I507" s="57"/>
      <c r="J507" s="57">
        <v>19359312000</v>
      </c>
      <c r="K507" s="57"/>
      <c r="L507" s="58">
        <f>N507-M507</f>
        <v>5162761000</v>
      </c>
      <c r="M507" s="57"/>
      <c r="N507" s="57">
        <v>5162761000</v>
      </c>
      <c r="O507" s="58">
        <f t="shared" si="155"/>
        <v>1926896000</v>
      </c>
      <c r="P507" s="57"/>
      <c r="Q507" s="57">
        <v>1926896000</v>
      </c>
      <c r="R507" s="58">
        <f t="shared" si="156"/>
        <v>2972623000</v>
      </c>
      <c r="S507" s="57"/>
      <c r="T507" s="57">
        <v>2972623000</v>
      </c>
      <c r="U507" s="58">
        <f>W507-V507</f>
        <v>743727000</v>
      </c>
      <c r="V507" s="57"/>
      <c r="W507" s="57">
        <v>743727000</v>
      </c>
      <c r="X507" s="121"/>
      <c r="Y507" s="121"/>
      <c r="Z507" s="121"/>
      <c r="AA507" s="121"/>
      <c r="AB507" s="121"/>
      <c r="AC507" s="121"/>
      <c r="AD507" s="121"/>
      <c r="AE507" s="121"/>
      <c r="AF507" s="121"/>
      <c r="AG507" s="121"/>
      <c r="AH507" s="121"/>
      <c r="AI507" s="121"/>
      <c r="AJ507" s="121">
        <f t="shared" si="150"/>
        <v>3257854</v>
      </c>
      <c r="AK507" s="59">
        <f>965700*0.3</f>
        <v>289710</v>
      </c>
      <c r="AL507" s="54">
        <v>44417</v>
      </c>
      <c r="AM507" s="60">
        <v>251</v>
      </c>
      <c r="AN507" s="34">
        <f>2550*2199</f>
        <v>5607450</v>
      </c>
      <c r="AO507" s="125">
        <f t="shared" si="140"/>
        <v>677700</v>
      </c>
      <c r="AP507" s="59"/>
      <c r="AQ507" s="100">
        <v>57400492342236</v>
      </c>
      <c r="AR507" s="100">
        <v>298292884000</v>
      </c>
      <c r="AS507" s="100">
        <v>31119119000</v>
      </c>
      <c r="AT507" s="100">
        <v>43958639000</v>
      </c>
      <c r="AU507" s="55">
        <v>13299384</v>
      </c>
      <c r="AV507" s="99">
        <v>7261910838.6000004</v>
      </c>
      <c r="AX507" s="74">
        <f t="shared" si="158"/>
        <v>7.6582337896873205E-4</v>
      </c>
    </row>
    <row r="508" spans="1:50" ht="15">
      <c r="A508" s="28">
        <v>44418</v>
      </c>
      <c r="B508" s="56">
        <v>90970025000</v>
      </c>
      <c r="C508" s="56">
        <v>17122445000</v>
      </c>
      <c r="D508" s="56">
        <v>2482840000</v>
      </c>
      <c r="E508" s="56"/>
      <c r="F508" s="65">
        <f t="shared" si="151"/>
        <v>110575310000</v>
      </c>
      <c r="G508" s="65">
        <f t="shared" si="152"/>
        <v>29855334</v>
      </c>
      <c r="H508" s="58">
        <f t="shared" si="153"/>
        <v>12165638000</v>
      </c>
      <c r="I508" s="57"/>
      <c r="J508" s="57">
        <v>12165638000</v>
      </c>
      <c r="K508" s="57"/>
      <c r="L508" s="58">
        <f>N508-M508</f>
        <v>6220887000</v>
      </c>
      <c r="M508" s="57"/>
      <c r="N508" s="57">
        <v>6220887000</v>
      </c>
      <c r="O508" s="58">
        <f t="shared" si="155"/>
        <v>559366000</v>
      </c>
      <c r="P508" s="57"/>
      <c r="Q508" s="57">
        <v>559366000</v>
      </c>
      <c r="R508" s="58">
        <f t="shared" si="156"/>
        <v>1282496000</v>
      </c>
      <c r="S508" s="57"/>
      <c r="T508" s="57">
        <v>1282496000</v>
      </c>
      <c r="U508" s="58">
        <f>W508-V508</f>
        <v>514450000</v>
      </c>
      <c r="V508" s="57"/>
      <c r="W508" s="57">
        <v>514450000</v>
      </c>
      <c r="X508" s="121"/>
      <c r="Y508" s="121"/>
      <c r="Z508" s="121"/>
      <c r="AA508" s="121"/>
      <c r="AB508" s="121"/>
      <c r="AC508" s="121"/>
      <c r="AD508" s="121"/>
      <c r="AE508" s="121"/>
      <c r="AF508" s="121"/>
      <c r="AG508" s="121"/>
      <c r="AH508" s="121"/>
      <c r="AI508" s="121"/>
      <c r="AJ508" s="121">
        <f t="shared" si="150"/>
        <v>2240226</v>
      </c>
      <c r="AK508" s="59">
        <f>1204200*0.3</f>
        <v>361260</v>
      </c>
      <c r="AL508" s="54">
        <v>44418</v>
      </c>
      <c r="AM508" s="60">
        <v>859</v>
      </c>
      <c r="AN508" s="34">
        <f>2550*1962</f>
        <v>5003100</v>
      </c>
      <c r="AO508" s="125">
        <f t="shared" si="140"/>
        <v>2319300</v>
      </c>
      <c r="AP508" s="59">
        <v>700000</v>
      </c>
      <c r="AQ508" s="100">
        <v>58019727761128</v>
      </c>
      <c r="AR508" s="100">
        <v>99093090000</v>
      </c>
      <c r="AS508" s="100">
        <v>21392391000</v>
      </c>
      <c r="AT508" s="100">
        <v>131967701000</v>
      </c>
      <c r="AU508" s="55">
        <v>40479220</v>
      </c>
      <c r="AV508" s="99">
        <v>7302390058.6000004</v>
      </c>
      <c r="AX508" s="74">
        <f t="shared" ref="AX508:AX510" si="159">AT508/AQ508</f>
        <v>2.2745315445691491E-3</v>
      </c>
    </row>
    <row r="509" spans="1:50" ht="15">
      <c r="A509" s="28">
        <v>44419</v>
      </c>
      <c r="B509" s="56">
        <v>20265830000</v>
      </c>
      <c r="C509" s="56"/>
      <c r="D509" s="56">
        <v>3136510000</v>
      </c>
      <c r="E509" s="56"/>
      <c r="F509" s="65">
        <f t="shared" si="151"/>
        <v>23402340000</v>
      </c>
      <c r="G509" s="65">
        <f t="shared" si="152"/>
        <v>6318632</v>
      </c>
      <c r="H509" s="58">
        <f t="shared" si="153"/>
        <v>2103200000</v>
      </c>
      <c r="I509" s="57"/>
      <c r="J509" s="57">
        <v>2103200000</v>
      </c>
      <c r="K509" s="57"/>
      <c r="L509" s="58">
        <f>N509-M509</f>
        <v>7467520000</v>
      </c>
      <c r="M509" s="57"/>
      <c r="N509" s="57">
        <v>7467520000</v>
      </c>
      <c r="O509" s="58">
        <f t="shared" si="155"/>
        <v>426947000</v>
      </c>
      <c r="P509" s="57"/>
      <c r="Q509" s="57">
        <v>426947000</v>
      </c>
      <c r="R509" s="58">
        <f t="shared" si="156"/>
        <v>937750000</v>
      </c>
      <c r="S509" s="57"/>
      <c r="T509" s="57">
        <v>937750000</v>
      </c>
      <c r="U509" s="58">
        <f>W509-V509</f>
        <v>1381778000</v>
      </c>
      <c r="V509" s="57"/>
      <c r="W509" s="57">
        <v>1381778000</v>
      </c>
      <c r="X509" s="121"/>
      <c r="Y509" s="121"/>
      <c r="Z509" s="121"/>
      <c r="AA509" s="121"/>
      <c r="AB509" s="121"/>
      <c r="AC509" s="121"/>
      <c r="AD509" s="121"/>
      <c r="AE509" s="121"/>
      <c r="AF509" s="121"/>
      <c r="AG509" s="121"/>
      <c r="AH509" s="121"/>
      <c r="AI509" s="121"/>
      <c r="AJ509" s="121">
        <f t="shared" si="150"/>
        <v>1330257</v>
      </c>
      <c r="AK509" s="59">
        <f>790700*0.3</f>
        <v>237210</v>
      </c>
      <c r="AL509" s="54">
        <v>44419</v>
      </c>
      <c r="AM509" s="60">
        <v>222</v>
      </c>
      <c r="AN509" s="34">
        <f>2550*1844</f>
        <v>4702200</v>
      </c>
      <c r="AO509" s="125">
        <f t="shared" si="140"/>
        <v>599400</v>
      </c>
      <c r="AP509" s="59"/>
      <c r="AQ509" s="100">
        <v>63814260592252</v>
      </c>
      <c r="AR509" s="100">
        <v>585402046000</v>
      </c>
      <c r="AS509" s="100">
        <v>12907887000</v>
      </c>
      <c r="AT509" s="100">
        <v>36310227000</v>
      </c>
      <c r="AU509" s="55">
        <v>13187699</v>
      </c>
      <c r="AV509" s="99">
        <v>7315577757.6000004</v>
      </c>
      <c r="AX509" s="74">
        <f t="shared" si="159"/>
        <v>5.6899863232778099E-4</v>
      </c>
    </row>
    <row r="510" spans="1:50" ht="15">
      <c r="A510" s="28">
        <v>44420</v>
      </c>
      <c r="B510" s="118">
        <v>21732770000</v>
      </c>
      <c r="C510" s="118"/>
      <c r="D510" s="118"/>
      <c r="E510" s="118"/>
      <c r="F510" s="65">
        <f t="shared" si="151"/>
        <v>21732770000</v>
      </c>
      <c r="G510" s="65">
        <f t="shared" si="152"/>
        <v>5867848</v>
      </c>
      <c r="H510" s="58">
        <f>J510-I510</f>
        <v>11332714000</v>
      </c>
      <c r="I510" s="121">
        <v>4981800000</v>
      </c>
      <c r="J510" s="121">
        <v>16314514000</v>
      </c>
      <c r="K510" s="121"/>
      <c r="L510" s="58">
        <f>N510-M510</f>
        <v>15719423000</v>
      </c>
      <c r="M510" s="121"/>
      <c r="N510" s="121">
        <v>15719423000</v>
      </c>
      <c r="O510" s="58">
        <f t="shared" si="155"/>
        <v>2249706000</v>
      </c>
      <c r="P510" s="121"/>
      <c r="Q510" s="121">
        <v>2249706000</v>
      </c>
      <c r="R510" s="58">
        <f t="shared" si="156"/>
        <v>1312772000</v>
      </c>
      <c r="S510" s="121"/>
      <c r="T510" s="121">
        <v>1312772000</v>
      </c>
      <c r="U510" s="58">
        <f>W510-V510</f>
        <v>607725000</v>
      </c>
      <c r="V510" s="121"/>
      <c r="W510" s="121">
        <v>607725000</v>
      </c>
      <c r="X510" s="121"/>
      <c r="Y510" s="121"/>
      <c r="Z510" s="121"/>
      <c r="AA510" s="121"/>
      <c r="AB510" s="121"/>
      <c r="AC510" s="121"/>
      <c r="AD510" s="121"/>
      <c r="AE510" s="121"/>
      <c r="AF510" s="121"/>
      <c r="AG510" s="121"/>
      <c r="AH510" s="121"/>
      <c r="AI510" s="121"/>
      <c r="AJ510" s="121">
        <f t="shared" si="150"/>
        <v>4268737</v>
      </c>
      <c r="AK510" s="124">
        <f>1174100*0.3</f>
        <v>352230</v>
      </c>
      <c r="AL510" s="54">
        <v>44420</v>
      </c>
      <c r="AM510" s="125">
        <v>342</v>
      </c>
      <c r="AN510" s="54">
        <f>2550*1756</f>
        <v>4477800</v>
      </c>
      <c r="AO510" s="125">
        <f t="shared" si="140"/>
        <v>923400</v>
      </c>
      <c r="AP510" s="124"/>
      <c r="AQ510" s="101">
        <v>55695109891170</v>
      </c>
      <c r="AR510" s="101">
        <v>127526352000</v>
      </c>
      <c r="AS510" s="101">
        <v>45383800000</v>
      </c>
      <c r="AT510" s="101">
        <v>67116570000</v>
      </c>
      <c r="AU510" s="55">
        <v>15890015</v>
      </c>
      <c r="AV510" s="99">
        <v>7331467772.6000004</v>
      </c>
      <c r="AX510" s="74">
        <f t="shared" si="159"/>
        <v>1.2050711477389648E-3</v>
      </c>
    </row>
    <row r="511" spans="1:50" ht="15">
      <c r="A511" s="28">
        <v>44421</v>
      </c>
      <c r="B511" s="56">
        <v>50124865000</v>
      </c>
      <c r="C511" s="65"/>
      <c r="D511" s="141"/>
      <c r="E511" s="65"/>
      <c r="F511" s="65">
        <f t="shared" si="151"/>
        <v>50124865000</v>
      </c>
      <c r="G511" s="65">
        <f t="shared" si="152"/>
        <v>13533714</v>
      </c>
      <c r="H511" s="58">
        <f t="shared" ref="H511:H515" si="160">J511-I511</f>
        <v>959698000</v>
      </c>
      <c r="I511" s="58"/>
      <c r="J511" s="58">
        <v>959698000</v>
      </c>
      <c r="K511" s="58"/>
      <c r="L511" s="58">
        <f t="shared" ref="L511:L515" si="161">N511-M511</f>
        <v>11315160000</v>
      </c>
      <c r="M511" s="58"/>
      <c r="N511" s="58">
        <v>11315160000</v>
      </c>
      <c r="O511" s="58">
        <f t="shared" si="155"/>
        <v>2162452000</v>
      </c>
      <c r="P511" s="58"/>
      <c r="Q511" s="58">
        <v>2162452000</v>
      </c>
      <c r="R511" s="58">
        <f t="shared" si="156"/>
        <v>1033484000</v>
      </c>
      <c r="S511" s="58"/>
      <c r="T511" s="58">
        <v>1033484000</v>
      </c>
      <c r="U511" s="58">
        <f t="shared" ref="U511:U515" si="162">W511-V511</f>
        <v>290227000</v>
      </c>
      <c r="V511" s="58"/>
      <c r="W511" s="58">
        <v>290227000</v>
      </c>
      <c r="X511" s="122"/>
      <c r="Y511" s="122"/>
      <c r="Z511" s="122"/>
      <c r="AA511" s="122"/>
      <c r="AB511" s="122"/>
      <c r="AC511" s="122"/>
      <c r="AD511" s="122"/>
      <c r="AE511" s="122"/>
      <c r="AF511" s="122"/>
      <c r="AG511" s="122"/>
      <c r="AH511" s="122"/>
      <c r="AI511" s="122"/>
      <c r="AJ511" s="121">
        <f t="shared" si="150"/>
        <v>1702190</v>
      </c>
      <c r="AK511" s="66">
        <f>952900*0.3</f>
        <v>285870</v>
      </c>
      <c r="AL511" s="54">
        <v>44421</v>
      </c>
      <c r="AM511" s="116">
        <v>438</v>
      </c>
      <c r="AN511" s="42">
        <f>2550*3*1718</f>
        <v>13142700</v>
      </c>
      <c r="AO511" s="125">
        <f t="shared" si="140"/>
        <v>1182600</v>
      </c>
      <c r="AP511" s="135"/>
      <c r="AQ511" s="102">
        <v>61571580791362</v>
      </c>
      <c r="AR511" s="102">
        <v>94210096000</v>
      </c>
      <c r="AS511" s="102">
        <v>24901531920</v>
      </c>
      <c r="AT511" s="102">
        <v>75026396920</v>
      </c>
      <c r="AU511" s="55">
        <v>29847074</v>
      </c>
      <c r="AV511" s="99">
        <v>7361314846.6000004</v>
      </c>
      <c r="AX511" s="74">
        <f t="shared" ref="AX511:AX514" si="163">AT511/AQ511</f>
        <v>1.2185231555809852E-3</v>
      </c>
    </row>
    <row r="512" spans="1:50" ht="15">
      <c r="A512" s="28">
        <v>44424</v>
      </c>
      <c r="B512" s="56">
        <v>11083930000</v>
      </c>
      <c r="C512" s="56"/>
      <c r="D512" s="56"/>
      <c r="E512" s="56">
        <v>3199000000</v>
      </c>
      <c r="F512" s="65">
        <f t="shared" si="151"/>
        <v>14282930000</v>
      </c>
      <c r="G512" s="65">
        <f t="shared" si="152"/>
        <v>3856391</v>
      </c>
      <c r="H512" s="58">
        <f t="shared" si="160"/>
        <v>11878627000</v>
      </c>
      <c r="I512" s="57"/>
      <c r="J512" s="57">
        <v>11878627000</v>
      </c>
      <c r="K512" s="57"/>
      <c r="L512" s="58">
        <f t="shared" si="161"/>
        <v>13262722000</v>
      </c>
      <c r="M512" s="57"/>
      <c r="N512" s="57">
        <v>13262722000</v>
      </c>
      <c r="O512" s="58">
        <f t="shared" si="155"/>
        <v>3417984000</v>
      </c>
      <c r="P512" s="57"/>
      <c r="Q512" s="57">
        <v>3417984000</v>
      </c>
      <c r="R512" s="58">
        <f t="shared" si="156"/>
        <v>2115881000</v>
      </c>
      <c r="S512" s="57"/>
      <c r="T512" s="57">
        <v>2115881000</v>
      </c>
      <c r="U512" s="58">
        <f t="shared" si="162"/>
        <v>454873000</v>
      </c>
      <c r="V512" s="57"/>
      <c r="W512" s="57">
        <v>454873000</v>
      </c>
      <c r="X512" s="121"/>
      <c r="Y512" s="121"/>
      <c r="Z512" s="121"/>
      <c r="AA512" s="121"/>
      <c r="AB512" s="121"/>
      <c r="AC512" s="121"/>
      <c r="AD512" s="121"/>
      <c r="AE512" s="121"/>
      <c r="AF512" s="121"/>
      <c r="AG512" s="121"/>
      <c r="AH512" s="121"/>
      <c r="AI512" s="121"/>
      <c r="AJ512" s="121">
        <f t="shared" si="150"/>
        <v>3362049</v>
      </c>
      <c r="AK512" s="59">
        <f>1297300*0.3</f>
        <v>389190</v>
      </c>
      <c r="AL512" s="54">
        <v>44424</v>
      </c>
      <c r="AM512" s="60">
        <v>301</v>
      </c>
      <c r="AN512" s="34">
        <f>2550*1579</f>
        <v>4026450</v>
      </c>
      <c r="AO512" s="125">
        <f t="shared" si="140"/>
        <v>812700</v>
      </c>
      <c r="AP512" s="59"/>
      <c r="AQ512" s="100">
        <v>68935950265040</v>
      </c>
      <c r="AR512" s="100">
        <v>157486548000</v>
      </c>
      <c r="AS512" s="100">
        <v>31689887000</v>
      </c>
      <c r="AT512" s="100">
        <v>45972817000</v>
      </c>
      <c r="AU512" s="55">
        <v>12446780</v>
      </c>
      <c r="AV512" s="99">
        <v>7373761626.6000004</v>
      </c>
      <c r="AX512" s="74">
        <f t="shared" si="163"/>
        <v>6.668917571056467E-4</v>
      </c>
    </row>
    <row r="513" spans="1:50" ht="15">
      <c r="A513" s="28">
        <v>44425</v>
      </c>
      <c r="B513" s="56">
        <v>10882185000</v>
      </c>
      <c r="C513" s="56"/>
      <c r="D513" s="56"/>
      <c r="E513" s="56"/>
      <c r="F513" s="65">
        <f t="shared" si="151"/>
        <v>10882185000</v>
      </c>
      <c r="G513" s="65">
        <f t="shared" si="152"/>
        <v>2938190</v>
      </c>
      <c r="H513" s="58">
        <f t="shared" si="160"/>
        <v>546800000</v>
      </c>
      <c r="I513" s="57">
        <v>12645000000</v>
      </c>
      <c r="J513" s="57">
        <v>13191800000</v>
      </c>
      <c r="K513" s="57"/>
      <c r="L513" s="58">
        <f t="shared" si="161"/>
        <v>14893263000</v>
      </c>
      <c r="M513" s="57"/>
      <c r="N513" s="57">
        <v>14893263000</v>
      </c>
      <c r="O513" s="58">
        <f t="shared" si="155"/>
        <v>1199648000</v>
      </c>
      <c r="P513" s="57"/>
      <c r="Q513" s="57">
        <v>1199648000</v>
      </c>
      <c r="R513" s="58">
        <f t="shared" si="156"/>
        <v>1227504000</v>
      </c>
      <c r="S513" s="57"/>
      <c r="T513" s="57">
        <v>1227504000</v>
      </c>
      <c r="U513" s="58">
        <f t="shared" si="162"/>
        <v>948410000</v>
      </c>
      <c r="V513" s="57"/>
      <c r="W513" s="57">
        <v>948410000</v>
      </c>
      <c r="X513" s="121"/>
      <c r="Y513" s="121"/>
      <c r="Z513" s="121"/>
      <c r="AA513" s="121"/>
      <c r="AB513" s="121"/>
      <c r="AC513" s="121"/>
      <c r="AD513" s="121"/>
      <c r="AE513" s="121"/>
      <c r="AF513" s="121"/>
      <c r="AG513" s="121"/>
      <c r="AH513" s="121"/>
      <c r="AI513" s="121"/>
      <c r="AJ513" s="121">
        <f t="shared" si="150"/>
        <v>4308188</v>
      </c>
      <c r="AK513" s="59">
        <f>649400*0.3</f>
        <v>194820</v>
      </c>
      <c r="AL513" s="54">
        <v>44425</v>
      </c>
      <c r="AM513" s="60">
        <v>697</v>
      </c>
      <c r="AN513" s="34">
        <f>2550*1620</f>
        <v>4131000</v>
      </c>
      <c r="AO513" s="125">
        <f t="shared" si="140"/>
        <v>1881900</v>
      </c>
      <c r="AP513" s="59"/>
      <c r="AQ513" s="100">
        <v>64688539616906</v>
      </c>
      <c r="AR513" s="100">
        <v>124610458000</v>
      </c>
      <c r="AS513" s="100">
        <v>32026209000</v>
      </c>
      <c r="AT513" s="100">
        <v>42908394000</v>
      </c>
      <c r="AU513" s="55">
        <v>13454098</v>
      </c>
      <c r="AV513" s="99">
        <v>7387215724.6000004</v>
      </c>
      <c r="AX513" s="74">
        <f t="shared" si="163"/>
        <v>6.6330750785392788E-4</v>
      </c>
    </row>
    <row r="514" spans="1:50" ht="15">
      <c r="A514" s="28">
        <v>44426</v>
      </c>
      <c r="B514" s="56">
        <v>22257995000</v>
      </c>
      <c r="C514" s="56"/>
      <c r="D514" s="56"/>
      <c r="E514" s="56"/>
      <c r="F514" s="65">
        <f t="shared" si="151"/>
        <v>22257995000</v>
      </c>
      <c r="G514" s="65">
        <f t="shared" si="152"/>
        <v>6009659</v>
      </c>
      <c r="H514" s="58">
        <f t="shared" si="160"/>
        <v>5471866000</v>
      </c>
      <c r="I514" s="57"/>
      <c r="J514" s="57">
        <v>5471866000</v>
      </c>
      <c r="K514" s="57"/>
      <c r="L514" s="58">
        <f t="shared" si="161"/>
        <v>23145254000</v>
      </c>
      <c r="M514" s="57"/>
      <c r="N514" s="57">
        <v>23145254000</v>
      </c>
      <c r="O514" s="58">
        <f t="shared" si="155"/>
        <v>668100000</v>
      </c>
      <c r="P514" s="57"/>
      <c r="Q514" s="57">
        <v>668100000</v>
      </c>
      <c r="R514" s="58">
        <f t="shared" si="156"/>
        <v>1267164000</v>
      </c>
      <c r="S514" s="57"/>
      <c r="T514" s="57">
        <v>1267164000</v>
      </c>
      <c r="U514" s="58">
        <f t="shared" si="162"/>
        <v>496275000</v>
      </c>
      <c r="V514" s="57"/>
      <c r="W514" s="57">
        <v>496275000</v>
      </c>
      <c r="X514" s="121"/>
      <c r="Y514" s="121"/>
      <c r="Z514" s="121"/>
      <c r="AA514" s="121"/>
      <c r="AB514" s="121"/>
      <c r="AC514" s="121"/>
      <c r="AD514" s="121"/>
      <c r="AE514" s="121"/>
      <c r="AF514" s="121"/>
      <c r="AG514" s="121"/>
      <c r="AH514" s="121"/>
      <c r="AI514" s="121"/>
      <c r="AJ514" s="121">
        <f t="shared" si="150"/>
        <v>3353255</v>
      </c>
      <c r="AK514" s="59">
        <f>552000*0.3</f>
        <v>165600</v>
      </c>
      <c r="AL514" s="54">
        <v>44426</v>
      </c>
      <c r="AM514" s="60">
        <v>459</v>
      </c>
      <c r="AN514" s="34">
        <f>2550*1737</f>
        <v>4429350</v>
      </c>
      <c r="AO514" s="125">
        <f t="shared" si="140"/>
        <v>1239300</v>
      </c>
      <c r="AP514" s="59"/>
      <c r="AQ514" s="100">
        <v>60554912830042</v>
      </c>
      <c r="AR514" s="100">
        <v>669815466000</v>
      </c>
      <c r="AS514" s="100">
        <v>31640331000</v>
      </c>
      <c r="AT514" s="100">
        <v>53898326000</v>
      </c>
      <c r="AU514" s="55">
        <v>15197164</v>
      </c>
      <c r="AV514" s="99">
        <v>7402412888.6000004</v>
      </c>
      <c r="AX514" s="74">
        <f t="shared" si="163"/>
        <v>8.9007354615925412E-4</v>
      </c>
    </row>
    <row r="515" spans="1:50" ht="15">
      <c r="A515" s="28">
        <v>44427</v>
      </c>
      <c r="B515" s="118">
        <v>55015370000</v>
      </c>
      <c r="C515" s="118">
        <v>7111250000</v>
      </c>
      <c r="D515" s="118"/>
      <c r="E515" s="118"/>
      <c r="F515" s="65">
        <f t="shared" si="151"/>
        <v>62126620000</v>
      </c>
      <c r="G515" s="65">
        <f t="shared" si="152"/>
        <v>16774187</v>
      </c>
      <c r="H515" s="58">
        <f t="shared" si="160"/>
        <v>990923000</v>
      </c>
      <c r="I515" s="121"/>
      <c r="J515" s="121">
        <v>990923000</v>
      </c>
      <c r="K515" s="121"/>
      <c r="L515" s="58">
        <f t="shared" si="161"/>
        <v>906696000</v>
      </c>
      <c r="M515" s="121"/>
      <c r="N515" s="121">
        <v>906696000</v>
      </c>
      <c r="O515" s="58">
        <f t="shared" si="155"/>
        <v>4420265000</v>
      </c>
      <c r="P515" s="121"/>
      <c r="Q515" s="121">
        <v>4420265000</v>
      </c>
      <c r="R515" s="58">
        <f t="shared" si="156"/>
        <v>1576021000</v>
      </c>
      <c r="S515" s="121"/>
      <c r="T515" s="121">
        <v>1576021000</v>
      </c>
      <c r="U515" s="58">
        <f t="shared" si="162"/>
        <v>1106849000</v>
      </c>
      <c r="V515" s="121"/>
      <c r="W515" s="121">
        <v>1106849000</v>
      </c>
      <c r="X515" s="121"/>
      <c r="Y515" s="121"/>
      <c r="Z515" s="121"/>
      <c r="AA515" s="121"/>
      <c r="AB515" s="121"/>
      <c r="AC515" s="121"/>
      <c r="AD515" s="121"/>
      <c r="AE515" s="121"/>
      <c r="AF515" s="121"/>
      <c r="AG515" s="121"/>
      <c r="AH515" s="121"/>
      <c r="AI515" s="121"/>
      <c r="AJ515" s="121">
        <f>972081-3706</f>
        <v>968375</v>
      </c>
      <c r="AK515" s="124">
        <f>971600*0.3</f>
        <v>291480</v>
      </c>
      <c r="AL515" s="54">
        <v>44427</v>
      </c>
      <c r="AM515" s="125">
        <v>205</v>
      </c>
      <c r="AN515" s="54">
        <f>2550*(830+1028)</f>
        <v>4737900</v>
      </c>
      <c r="AO515" s="125">
        <f t="shared" si="140"/>
        <v>553500</v>
      </c>
      <c r="AP515" s="124">
        <v>500000</v>
      </c>
      <c r="AQ515" s="101">
        <v>63802172351030</v>
      </c>
      <c r="AR515" s="101">
        <v>42168224000</v>
      </c>
      <c r="AS515" s="101">
        <v>9569906000</v>
      </c>
      <c r="AT515" s="101">
        <v>71696526000</v>
      </c>
      <c r="AU515" s="55">
        <v>23825442</v>
      </c>
      <c r="AV515" s="99">
        <v>7426238330.6000004</v>
      </c>
      <c r="AX515" s="74">
        <f t="shared" ref="AX515:AX522" si="164">AT515/AQ515</f>
        <v>1.1237317376207262E-3</v>
      </c>
    </row>
    <row r="516" spans="1:50" ht="15">
      <c r="A516" s="28">
        <v>44428</v>
      </c>
      <c r="B516" s="56">
        <v>36653815000</v>
      </c>
      <c r="C516" s="65"/>
      <c r="D516" s="141"/>
      <c r="E516" s="65"/>
      <c r="F516" s="65">
        <f t="shared" ref="F516:F520" si="165">SUM(B516:E516)</f>
        <v>36653815000</v>
      </c>
      <c r="G516" s="65">
        <f t="shared" si="152"/>
        <v>9896530</v>
      </c>
      <c r="H516" s="58">
        <f t="shared" si="153"/>
        <v>9037110000</v>
      </c>
      <c r="I516" s="58">
        <v>63359000000</v>
      </c>
      <c r="J516" s="58">
        <v>72396110000</v>
      </c>
      <c r="K516" s="58"/>
      <c r="L516" s="58">
        <f t="shared" ref="L516:L520" si="166">N516-M516</f>
        <v>21268453000</v>
      </c>
      <c r="M516" s="58"/>
      <c r="N516" s="58">
        <v>21268453000</v>
      </c>
      <c r="O516" s="58">
        <f t="shared" si="155"/>
        <v>7220242000</v>
      </c>
      <c r="P516" s="58"/>
      <c r="Q516" s="58">
        <v>7220242000</v>
      </c>
      <c r="R516" s="58">
        <f t="shared" si="156"/>
        <v>1206422000</v>
      </c>
      <c r="S516" s="58"/>
      <c r="T516" s="58">
        <v>1206422000</v>
      </c>
      <c r="U516" s="58">
        <f t="shared" ref="U516:U520" si="167">W516-V516</f>
        <v>1120536000</v>
      </c>
      <c r="V516" s="58"/>
      <c r="W516" s="58">
        <v>1120536000</v>
      </c>
      <c r="X516" s="122"/>
      <c r="Y516" s="122"/>
      <c r="Z516" s="122"/>
      <c r="AA516" s="122"/>
      <c r="AB516" s="122"/>
      <c r="AC516" s="122"/>
      <c r="AD516" s="122"/>
      <c r="AE516" s="122"/>
      <c r="AF516" s="122"/>
      <c r="AG516" s="122"/>
      <c r="AH516" s="122"/>
      <c r="AI516" s="122"/>
      <c r="AJ516" s="121">
        <f t="shared" ref="AJ516:AJ547" si="168">ROUND(H516*0.0108%+I516*0.018%+K516*0.018%+L516*0.0108%+M516*0.018%+O516*0.0108%+P516*0.018%+R516*0.0108%+S516*0.018%+V516*0.018%+U516*0.0108%,0)</f>
        <v>15708718</v>
      </c>
      <c r="AK516" s="66">
        <f>721700*0.3</f>
        <v>216510</v>
      </c>
      <c r="AL516" s="54">
        <v>44428</v>
      </c>
      <c r="AM516" s="116">
        <v>1171</v>
      </c>
      <c r="AN516" s="42">
        <f>2550*3*1807</f>
        <v>13823550</v>
      </c>
      <c r="AO516" s="125">
        <f t="shared" si="140"/>
        <v>3161700</v>
      </c>
      <c r="AP516" s="135">
        <v>48683395</v>
      </c>
      <c r="AQ516" s="102">
        <v>97354423385376</v>
      </c>
      <c r="AR516" s="102">
        <v>294347176000</v>
      </c>
      <c r="AS516" s="102">
        <v>167229423000</v>
      </c>
      <c r="AT516" s="102">
        <v>203883238000</v>
      </c>
      <c r="AU516" s="55">
        <v>91490403</v>
      </c>
      <c r="AV516" s="99">
        <v>7517728733.6000004</v>
      </c>
      <c r="AX516" s="74">
        <f t="shared" si="164"/>
        <v>2.0942370249878764E-3</v>
      </c>
    </row>
    <row r="517" spans="1:50" ht="15">
      <c r="A517" s="28">
        <v>44431</v>
      </c>
      <c r="B517" s="56">
        <v>36971416000</v>
      </c>
      <c r="C517" s="56"/>
      <c r="D517" s="56"/>
      <c r="E517" s="56"/>
      <c r="F517" s="65">
        <f t="shared" si="165"/>
        <v>36971416000</v>
      </c>
      <c r="G517" s="65">
        <f t="shared" si="152"/>
        <v>9982282</v>
      </c>
      <c r="H517" s="58">
        <f t="shared" si="153"/>
        <v>17160037000</v>
      </c>
      <c r="I517" s="57">
        <v>12230820000</v>
      </c>
      <c r="J517" s="57">
        <v>29390857000</v>
      </c>
      <c r="K517" s="57"/>
      <c r="L517" s="58">
        <f t="shared" si="166"/>
        <v>22408517000</v>
      </c>
      <c r="M517" s="57"/>
      <c r="N517" s="57">
        <v>22408517000</v>
      </c>
      <c r="O517" s="58">
        <f t="shared" si="155"/>
        <v>5553518000</v>
      </c>
      <c r="P517" s="57"/>
      <c r="Q517" s="57">
        <v>5553518000</v>
      </c>
      <c r="R517" s="58">
        <f t="shared" si="156"/>
        <v>1669993000</v>
      </c>
      <c r="S517" s="57"/>
      <c r="T517" s="57">
        <v>1669993000</v>
      </c>
      <c r="U517" s="58">
        <f t="shared" si="167"/>
        <v>821955000</v>
      </c>
      <c r="V517" s="57"/>
      <c r="W517" s="57">
        <v>821955000</v>
      </c>
      <c r="X517" s="121"/>
      <c r="Y517" s="121"/>
      <c r="Z517" s="121"/>
      <c r="AA517" s="121"/>
      <c r="AB517" s="121"/>
      <c r="AC517" s="121"/>
      <c r="AD517" s="121"/>
      <c r="AE517" s="121"/>
      <c r="AF517" s="121"/>
      <c r="AG517" s="121"/>
      <c r="AH517" s="121"/>
      <c r="AI517" s="121"/>
      <c r="AJ517" s="121">
        <f t="shared" si="168"/>
        <v>7343862</v>
      </c>
      <c r="AK517" s="59">
        <f>800200*0.3</f>
        <v>240060</v>
      </c>
      <c r="AL517" s="54">
        <v>44431</v>
      </c>
      <c r="AM517" s="60">
        <v>809</v>
      </c>
      <c r="AN517" s="34">
        <f>2550*2326</f>
        <v>5931300</v>
      </c>
      <c r="AO517" s="125">
        <f t="shared" si="140"/>
        <v>2184300</v>
      </c>
      <c r="AP517" s="59">
        <v>1600000</v>
      </c>
      <c r="AQ517" s="100">
        <v>64167733108374</v>
      </c>
      <c r="AR517" s="100">
        <v>676027758000</v>
      </c>
      <c r="AS517" s="100">
        <v>66167880000</v>
      </c>
      <c r="AT517" s="100">
        <v>103139296000</v>
      </c>
      <c r="AU517" s="55">
        <v>27281804</v>
      </c>
      <c r="AV517" s="99">
        <v>7545010537.6000004</v>
      </c>
      <c r="AX517" s="74">
        <f t="shared" si="164"/>
        <v>1.607338938182626E-3</v>
      </c>
    </row>
    <row r="518" spans="1:50" ht="15">
      <c r="A518" s="28">
        <v>44432</v>
      </c>
      <c r="B518" s="56">
        <v>69205015000</v>
      </c>
      <c r="C518" s="56">
        <v>9265925000</v>
      </c>
      <c r="D518" s="56"/>
      <c r="E518" s="56"/>
      <c r="F518" s="65">
        <f t="shared" si="165"/>
        <v>78470940000</v>
      </c>
      <c r="G518" s="65">
        <f t="shared" si="152"/>
        <v>21187154</v>
      </c>
      <c r="H518" s="58">
        <f t="shared" si="153"/>
        <v>14961515000</v>
      </c>
      <c r="I518" s="57"/>
      <c r="J518" s="57">
        <v>14961515000</v>
      </c>
      <c r="K518" s="57"/>
      <c r="L518" s="58">
        <f t="shared" si="166"/>
        <v>17736029000</v>
      </c>
      <c r="M518" s="57"/>
      <c r="N518" s="57">
        <v>17736029000</v>
      </c>
      <c r="O518" s="58">
        <f t="shared" si="155"/>
        <v>2846778000</v>
      </c>
      <c r="P518" s="57"/>
      <c r="Q518" s="57">
        <v>2846778000</v>
      </c>
      <c r="R518" s="58">
        <f t="shared" si="156"/>
        <v>1642724000</v>
      </c>
      <c r="S518" s="57"/>
      <c r="T518" s="57">
        <v>1642724000</v>
      </c>
      <c r="U518" s="58">
        <f t="shared" si="167"/>
        <v>35546000</v>
      </c>
      <c r="V518" s="57"/>
      <c r="W518" s="57">
        <v>35546000</v>
      </c>
      <c r="X518" s="121"/>
      <c r="Y518" s="121"/>
      <c r="Z518" s="121"/>
      <c r="AA518" s="121"/>
      <c r="AB518" s="121"/>
      <c r="AC518" s="121"/>
      <c r="AD518" s="121"/>
      <c r="AE518" s="121"/>
      <c r="AF518" s="121"/>
      <c r="AG518" s="121"/>
      <c r="AH518" s="121"/>
      <c r="AI518" s="121"/>
      <c r="AJ518" s="121">
        <f t="shared" si="168"/>
        <v>4020040</v>
      </c>
      <c r="AK518" s="59">
        <f>1283500*0.3</f>
        <v>385050</v>
      </c>
      <c r="AL518" s="54">
        <v>44432</v>
      </c>
      <c r="AM518" s="60">
        <v>646</v>
      </c>
      <c r="AN518" s="34">
        <f>2550*2150</f>
        <v>5482500</v>
      </c>
      <c r="AO518" s="125">
        <f t="shared" si="140"/>
        <v>1744200</v>
      </c>
      <c r="AP518" s="59">
        <v>500000</v>
      </c>
      <c r="AQ518" s="100">
        <v>59632384452046</v>
      </c>
      <c r="AR518" s="100">
        <v>170652798000</v>
      </c>
      <c r="AS518" s="100">
        <v>38460954000</v>
      </c>
      <c r="AT518" s="100">
        <v>116931894000</v>
      </c>
      <c r="AU518" s="55">
        <v>33318944</v>
      </c>
      <c r="AV518" s="99">
        <v>7578329481.6000004</v>
      </c>
      <c r="AX518" s="74">
        <f t="shared" si="164"/>
        <v>1.9608790605049843E-3</v>
      </c>
    </row>
    <row r="519" spans="1:50" ht="15">
      <c r="A519" s="28">
        <v>44433</v>
      </c>
      <c r="B519" s="56">
        <v>37221040000</v>
      </c>
      <c r="C519" s="56">
        <v>9960285000</v>
      </c>
      <c r="D519" s="56">
        <v>2902965000</v>
      </c>
      <c r="E519" s="56"/>
      <c r="F519" s="65">
        <f t="shared" si="165"/>
        <v>50084290000</v>
      </c>
      <c r="G519" s="65">
        <f t="shared" si="152"/>
        <v>13522758</v>
      </c>
      <c r="H519" s="58">
        <f t="shared" si="153"/>
        <v>10492198000</v>
      </c>
      <c r="I519" s="57">
        <v>39796490000</v>
      </c>
      <c r="J519" s="57">
        <v>50288688000</v>
      </c>
      <c r="K519" s="57"/>
      <c r="L519" s="58">
        <f t="shared" si="166"/>
        <v>19433466000</v>
      </c>
      <c r="M519" s="57"/>
      <c r="N519" s="57">
        <v>19433466000</v>
      </c>
      <c r="O519" s="58">
        <f t="shared" si="155"/>
        <v>1206104000</v>
      </c>
      <c r="P519" s="57"/>
      <c r="Q519" s="57">
        <v>1206104000</v>
      </c>
      <c r="R519" s="58">
        <f t="shared" si="156"/>
        <v>1093310000</v>
      </c>
      <c r="S519" s="57"/>
      <c r="T519" s="57">
        <v>1093310000</v>
      </c>
      <c r="U519" s="58">
        <f t="shared" si="167"/>
        <v>1262720000</v>
      </c>
      <c r="V519" s="57"/>
      <c r="W519" s="57">
        <v>1262720000</v>
      </c>
      <c r="X519" s="121"/>
      <c r="Y519" s="121"/>
      <c r="Z519" s="121"/>
      <c r="AA519" s="121"/>
      <c r="AB519" s="121"/>
      <c r="AC519" s="121"/>
      <c r="AD519" s="121"/>
      <c r="AE519" s="121"/>
      <c r="AF519" s="121"/>
      <c r="AG519" s="121"/>
      <c r="AH519" s="121"/>
      <c r="AI519" s="121"/>
      <c r="AJ519" s="121">
        <f t="shared" si="168"/>
        <v>10780050</v>
      </c>
      <c r="AK519" s="59">
        <f>(1110400*0.3)+300000</f>
        <v>633120</v>
      </c>
      <c r="AL519" s="54">
        <v>44433</v>
      </c>
      <c r="AM519" s="60">
        <v>817</v>
      </c>
      <c r="AN519" s="34">
        <f>2550*1655</f>
        <v>4220250</v>
      </c>
      <c r="AO519" s="125">
        <f t="shared" si="140"/>
        <v>2205900</v>
      </c>
      <c r="AP519" s="59">
        <v>500000</v>
      </c>
      <c r="AQ519" s="100">
        <v>41774330324230</v>
      </c>
      <c r="AR519" s="100">
        <v>213661304000</v>
      </c>
      <c r="AS519" s="100">
        <v>77898678000</v>
      </c>
      <c r="AT519" s="100">
        <v>127982968000</v>
      </c>
      <c r="AU519" s="55">
        <v>31862078</v>
      </c>
      <c r="AV519" s="99">
        <v>7610191559.6000004</v>
      </c>
      <c r="AX519" s="74">
        <f t="shared" si="164"/>
        <v>3.0636749172677259E-3</v>
      </c>
    </row>
    <row r="520" spans="1:50" ht="15">
      <c r="A520" s="28">
        <v>44434</v>
      </c>
      <c r="B520" s="118">
        <v>64005220000</v>
      </c>
      <c r="C520" s="118"/>
      <c r="D520" s="118"/>
      <c r="E520" s="118">
        <v>2703985000</v>
      </c>
      <c r="F520" s="65">
        <f t="shared" si="165"/>
        <v>66709205000</v>
      </c>
      <c r="G520" s="65">
        <f t="shared" si="152"/>
        <v>18011485</v>
      </c>
      <c r="H520" s="58">
        <f t="shared" si="153"/>
        <v>0</v>
      </c>
      <c r="I520" s="121">
        <v>114562000000</v>
      </c>
      <c r="J520" s="121">
        <v>114562000000</v>
      </c>
      <c r="K520" s="121"/>
      <c r="L520" s="58">
        <f t="shared" si="166"/>
        <v>10508861000</v>
      </c>
      <c r="M520" s="121">
        <v>49420000000</v>
      </c>
      <c r="N520" s="121">
        <v>59928861000</v>
      </c>
      <c r="O520" s="58">
        <f t="shared" si="155"/>
        <v>1816719000</v>
      </c>
      <c r="P520" s="121"/>
      <c r="Q520" s="121">
        <v>1816719000</v>
      </c>
      <c r="R520" s="58">
        <f t="shared" si="156"/>
        <v>1333796000</v>
      </c>
      <c r="S520" s="121"/>
      <c r="T520" s="121">
        <v>1333796000</v>
      </c>
      <c r="U520" s="58">
        <f t="shared" si="167"/>
        <v>3712497000</v>
      </c>
      <c r="V520" s="121"/>
      <c r="W520" s="121">
        <v>3712497000</v>
      </c>
      <c r="X520" s="121"/>
      <c r="Y520" s="121"/>
      <c r="Z520" s="121"/>
      <c r="AA520" s="121"/>
      <c r="AB520" s="121"/>
      <c r="AC520" s="121"/>
      <c r="AD520" s="121"/>
      <c r="AE520" s="121"/>
      <c r="AF520" s="121"/>
      <c r="AG520" s="121"/>
      <c r="AH520" s="121"/>
      <c r="AI520" s="121"/>
      <c r="AJ520" s="121">
        <f t="shared" si="168"/>
        <v>31392922</v>
      </c>
      <c r="AK520" s="124">
        <f>(1084500*0.3)+300720</f>
        <v>626070</v>
      </c>
      <c r="AL520" s="54">
        <v>44434</v>
      </c>
      <c r="AM520" s="125">
        <v>1052</v>
      </c>
      <c r="AN520" s="54">
        <f>2550*1533</f>
        <v>3909150</v>
      </c>
      <c r="AO520" s="125">
        <f t="shared" si="140"/>
        <v>2840400</v>
      </c>
      <c r="AP520" s="124">
        <f>5152232-4800000</f>
        <v>352232</v>
      </c>
      <c r="AQ520" s="101">
        <v>44835424165584</v>
      </c>
      <c r="AR520" s="101">
        <v>383167000000</v>
      </c>
      <c r="AS520" s="101">
        <v>231328360000</v>
      </c>
      <c r="AT520" s="101">
        <v>298037565000</v>
      </c>
      <c r="AU520" s="55">
        <v>57132259</v>
      </c>
      <c r="AV520" s="99">
        <v>7667323818.6000004</v>
      </c>
      <c r="AX520" s="74">
        <f t="shared" si="164"/>
        <v>6.6473680253208312E-3</v>
      </c>
    </row>
    <row r="521" spans="1:50" ht="15">
      <c r="A521" s="28">
        <v>44435</v>
      </c>
      <c r="B521" s="56">
        <v>152354180000</v>
      </c>
      <c r="C521" s="56">
        <v>26861690000</v>
      </c>
      <c r="D521" s="56"/>
      <c r="E521" s="56"/>
      <c r="F521" s="65">
        <f t="shared" ref="F521:F523" si="169">SUM(B521:E521)</f>
        <v>179215870000</v>
      </c>
      <c r="G521" s="65">
        <f t="shared" si="152"/>
        <v>48388285</v>
      </c>
      <c r="H521" s="58">
        <f t="shared" si="153"/>
        <v>4069645000</v>
      </c>
      <c r="I521" s="57">
        <v>71564000000</v>
      </c>
      <c r="J521" s="57">
        <v>75633645000</v>
      </c>
      <c r="K521" s="57"/>
      <c r="L521" s="58">
        <f t="shared" ref="L521:L541" si="170">N521-M521</f>
        <v>6257769000</v>
      </c>
      <c r="M521" s="57"/>
      <c r="N521" s="57">
        <v>6257769000</v>
      </c>
      <c r="O521" s="58">
        <f t="shared" si="155"/>
        <v>3782052000</v>
      </c>
      <c r="P521" s="57"/>
      <c r="Q521" s="57">
        <v>3782052000</v>
      </c>
      <c r="R521" s="58">
        <f t="shared" si="156"/>
        <v>1080063000</v>
      </c>
      <c r="S521" s="57"/>
      <c r="T521" s="57">
        <v>1080063000</v>
      </c>
      <c r="U521" s="58">
        <f t="shared" ref="U521:U541" si="171">W521-V521</f>
        <v>727231000</v>
      </c>
      <c r="V521" s="57"/>
      <c r="W521" s="57">
        <v>727231000</v>
      </c>
      <c r="X521" s="121"/>
      <c r="Y521" s="121"/>
      <c r="Z521" s="121"/>
      <c r="AA521" s="121"/>
      <c r="AB521" s="121"/>
      <c r="AC521" s="121"/>
      <c r="AD521" s="121"/>
      <c r="AE521" s="121"/>
      <c r="AF521" s="121"/>
      <c r="AG521" s="121"/>
      <c r="AH521" s="121"/>
      <c r="AI521" s="121"/>
      <c r="AJ521" s="121">
        <f t="shared" si="168"/>
        <v>14600530</v>
      </c>
      <c r="AK521" s="59">
        <f>(1097000*0.3)+300000</f>
        <v>629100</v>
      </c>
      <c r="AL521" s="54">
        <v>44435</v>
      </c>
      <c r="AM521" s="60">
        <v>716</v>
      </c>
      <c r="AN521" s="34">
        <f>2550*3*1753</f>
        <v>13410450</v>
      </c>
      <c r="AO521" s="125">
        <f t="shared" si="140"/>
        <v>1933200</v>
      </c>
      <c r="AP521" s="59">
        <v>600000</v>
      </c>
      <c r="AQ521" s="100">
        <v>52623004066430</v>
      </c>
      <c r="AR521" s="100">
        <v>256645720000</v>
      </c>
      <c r="AS521" s="100">
        <v>88208060000</v>
      </c>
      <c r="AT521" s="100">
        <v>267423930000</v>
      </c>
      <c r="AU521" s="55">
        <v>79561565</v>
      </c>
      <c r="AV521" s="99">
        <v>7746885383.6000004</v>
      </c>
      <c r="AX521" s="74">
        <f t="shared" si="164"/>
        <v>5.0818826242304705E-3</v>
      </c>
    </row>
    <row r="522" spans="1:50" ht="15">
      <c r="A522" s="28">
        <v>44438</v>
      </c>
      <c r="B522" s="118">
        <v>104762425000</v>
      </c>
      <c r="C522" s="118"/>
      <c r="D522" s="118"/>
      <c r="E522" s="118"/>
      <c r="F522" s="65">
        <f t="shared" si="169"/>
        <v>104762425000</v>
      </c>
      <c r="G522" s="65">
        <f t="shared" si="152"/>
        <v>28285855</v>
      </c>
      <c r="H522" s="58">
        <f t="shared" si="153"/>
        <v>1200356000</v>
      </c>
      <c r="I522" s="121">
        <v>83341628000</v>
      </c>
      <c r="J522" s="121">
        <v>84541984000</v>
      </c>
      <c r="K522" s="121"/>
      <c r="L522" s="58">
        <f t="shared" si="170"/>
        <v>7559000</v>
      </c>
      <c r="M522" s="121">
        <v>12472500000</v>
      </c>
      <c r="N522" s="121">
        <v>12480059000</v>
      </c>
      <c r="O522" s="58">
        <f t="shared" si="155"/>
        <v>3524301000</v>
      </c>
      <c r="P522" s="121"/>
      <c r="Q522" s="121">
        <v>3524301000</v>
      </c>
      <c r="R522" s="58">
        <f t="shared" si="156"/>
        <v>1164421000</v>
      </c>
      <c r="S522" s="121"/>
      <c r="T522" s="121">
        <v>1164421000</v>
      </c>
      <c r="U522" s="58">
        <f t="shared" si="171"/>
        <v>1240616000</v>
      </c>
      <c r="V522" s="121"/>
      <c r="W522" s="121">
        <v>1240616000</v>
      </c>
      <c r="X522" s="121"/>
      <c r="Y522" s="121"/>
      <c r="Z522" s="121"/>
      <c r="AA522" s="121"/>
      <c r="AB522" s="121"/>
      <c r="AC522" s="121"/>
      <c r="AD522" s="121"/>
      <c r="AE522" s="121"/>
      <c r="AF522" s="121"/>
      <c r="AG522" s="121"/>
      <c r="AH522" s="121"/>
      <c r="AI522" s="121"/>
      <c r="AJ522" s="121">
        <f t="shared" si="168"/>
        <v>18017366</v>
      </c>
      <c r="AK522" s="124">
        <f>(823100*0.3)+300000</f>
        <v>546930</v>
      </c>
      <c r="AL522" s="54">
        <v>44438</v>
      </c>
      <c r="AM522" s="125">
        <v>657</v>
      </c>
      <c r="AN522" s="54">
        <f>2550*1638</f>
        <v>4176900</v>
      </c>
      <c r="AO522" s="125">
        <f t="shared" si="140"/>
        <v>1773900</v>
      </c>
      <c r="AP522" s="124"/>
      <c r="AQ522" s="100">
        <v>52062465751112</v>
      </c>
      <c r="AR522" s="100">
        <v>528228824000</v>
      </c>
      <c r="AS522" s="100">
        <v>108746763000</v>
      </c>
      <c r="AT522" s="100">
        <v>213509188000</v>
      </c>
      <c r="AU522" s="55">
        <v>52800951</v>
      </c>
      <c r="AV522" s="99">
        <v>7799686334.6000004</v>
      </c>
      <c r="AX522" s="74">
        <f t="shared" si="164"/>
        <v>4.1010195141485337E-3</v>
      </c>
    </row>
    <row r="523" spans="1:50" ht="15">
      <c r="A523" s="28">
        <v>44439</v>
      </c>
      <c r="B523" s="118">
        <v>35907375000</v>
      </c>
      <c r="C523" s="118">
        <v>10990570000</v>
      </c>
      <c r="D523" s="118"/>
      <c r="E523" s="118"/>
      <c r="F523" s="65">
        <f t="shared" si="169"/>
        <v>46897945000</v>
      </c>
      <c r="G523" s="65">
        <f t="shared" si="152"/>
        <v>12662445</v>
      </c>
      <c r="H523" s="58">
        <f t="shared" si="153"/>
        <v>38554000</v>
      </c>
      <c r="I523" s="52">
        <v>95916000000</v>
      </c>
      <c r="J523" s="52">
        <v>95954554000</v>
      </c>
      <c r="K523" s="52"/>
      <c r="L523" s="58">
        <f t="shared" si="170"/>
        <v>3170811000</v>
      </c>
      <c r="M523" s="52"/>
      <c r="N523" s="52">
        <v>3170811000</v>
      </c>
      <c r="O523" s="58">
        <f t="shared" si="155"/>
        <v>420445000</v>
      </c>
      <c r="P523" s="52"/>
      <c r="Q523" s="52">
        <v>420445000</v>
      </c>
      <c r="R523" s="58">
        <f t="shared" si="156"/>
        <v>979586000</v>
      </c>
      <c r="S523" s="52"/>
      <c r="T523" s="52">
        <v>979586000</v>
      </c>
      <c r="U523" s="58">
        <f t="shared" si="171"/>
        <v>1015159000</v>
      </c>
      <c r="V523" s="52"/>
      <c r="W523" s="52">
        <v>1015159000</v>
      </c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121">
        <f t="shared" si="168"/>
        <v>17872332</v>
      </c>
      <c r="AK523" s="52">
        <f>(742300*0.3)+300000</f>
        <v>522690</v>
      </c>
      <c r="AL523" s="54">
        <v>44439</v>
      </c>
      <c r="AM523" s="52">
        <v>884</v>
      </c>
      <c r="AN523" s="52">
        <f>2550*890</f>
        <v>2269500</v>
      </c>
      <c r="AO523" s="125">
        <f t="shared" ref="AO523:AO586" si="172">AM523*2700</f>
        <v>2386800</v>
      </c>
      <c r="AP523" s="52">
        <v>600000</v>
      </c>
      <c r="AQ523" s="100">
        <v>56750446826014</v>
      </c>
      <c r="AR523" s="100">
        <v>250940542000</v>
      </c>
      <c r="AS523" s="100">
        <v>102086961000</v>
      </c>
      <c r="AT523" s="100">
        <v>148984906000</v>
      </c>
      <c r="AU523" s="55">
        <v>36313767</v>
      </c>
      <c r="AV523" s="99">
        <v>7836000101.6000004</v>
      </c>
      <c r="AX523" s="74">
        <f>AT523/AQ523</f>
        <v>2.6252640169822658E-3</v>
      </c>
    </row>
    <row r="524" spans="1:50" ht="15">
      <c r="A524" s="28">
        <v>44440</v>
      </c>
      <c r="B524" s="56">
        <v>112080665000</v>
      </c>
      <c r="C524" s="56">
        <v>32839215000</v>
      </c>
      <c r="D524" s="56">
        <v>1757120000</v>
      </c>
      <c r="E524" s="56"/>
      <c r="F524" s="65">
        <f t="shared" ref="F524" si="173">SUM(B524:E524)</f>
        <v>146677000000</v>
      </c>
      <c r="G524" s="65">
        <f t="shared" si="152"/>
        <v>39602790</v>
      </c>
      <c r="H524" s="58">
        <f t="shared" si="153"/>
        <v>2400812000</v>
      </c>
      <c r="I524" s="57">
        <v>80597250000</v>
      </c>
      <c r="J524" s="57">
        <v>82998062000</v>
      </c>
      <c r="K524" s="57"/>
      <c r="L524" s="58">
        <f t="shared" si="170"/>
        <v>4371694000</v>
      </c>
      <c r="M524" s="57">
        <v>37410000000</v>
      </c>
      <c r="N524" s="57">
        <v>41781694000</v>
      </c>
      <c r="O524" s="58">
        <f t="shared" si="155"/>
        <v>641884000</v>
      </c>
      <c r="P524" s="57"/>
      <c r="Q524" s="57">
        <v>641884000</v>
      </c>
      <c r="R524" s="58">
        <f t="shared" si="156"/>
        <v>1051909000</v>
      </c>
      <c r="S524" s="57"/>
      <c r="T524" s="57">
        <v>1051909000</v>
      </c>
      <c r="U524" s="58">
        <f t="shared" si="171"/>
        <v>30204000</v>
      </c>
      <c r="V524" s="57"/>
      <c r="W524" s="57">
        <v>30204000</v>
      </c>
      <c r="X524" s="121"/>
      <c r="Y524" s="121"/>
      <c r="Z524" s="121"/>
      <c r="AA524" s="121"/>
      <c r="AB524" s="121"/>
      <c r="AC524" s="121"/>
      <c r="AD524" s="121"/>
      <c r="AE524" s="121"/>
      <c r="AF524" s="121"/>
      <c r="AG524" s="121"/>
      <c r="AH524" s="121"/>
      <c r="AI524" s="121"/>
      <c r="AJ524" s="121">
        <f t="shared" si="168"/>
        <v>22158927</v>
      </c>
      <c r="AK524" s="59">
        <f>(474700*0.3)+300000</f>
        <v>442410</v>
      </c>
      <c r="AL524" s="54">
        <v>44440</v>
      </c>
      <c r="AM524" s="60">
        <v>1137</v>
      </c>
      <c r="AN524" s="34">
        <v>17250750</v>
      </c>
      <c r="AO524" s="125">
        <f t="shared" si="172"/>
        <v>3069900</v>
      </c>
      <c r="AP524" s="59">
        <v>600000</v>
      </c>
      <c r="AQ524" s="100">
        <v>59113754272230</v>
      </c>
      <c r="AR524" s="100">
        <v>785085000000</v>
      </c>
      <c r="AS524" s="100">
        <v>152755841000</v>
      </c>
      <c r="AT524" s="103">
        <v>299432841000</v>
      </c>
      <c r="AU524" s="55">
        <v>83124777</v>
      </c>
      <c r="AV524" s="99">
        <v>7919124878.6000004</v>
      </c>
      <c r="AX524" s="74">
        <f>AT524/AQ524</f>
        <v>5.0653666762739387E-3</v>
      </c>
    </row>
    <row r="525" spans="1:50" ht="15">
      <c r="A525" s="28">
        <v>44445</v>
      </c>
      <c r="B525" s="56">
        <v>63615070000</v>
      </c>
      <c r="C525" s="65">
        <v>27314160000</v>
      </c>
      <c r="D525" s="141"/>
      <c r="E525" s="65"/>
      <c r="F525" s="65">
        <f t="shared" ref="F525:F528" si="174">SUM(B525:E525)</f>
        <v>90929230000</v>
      </c>
      <c r="G525" s="65">
        <f t="shared" si="152"/>
        <v>24550892</v>
      </c>
      <c r="H525" s="58">
        <f t="shared" si="153"/>
        <v>1864976000</v>
      </c>
      <c r="I525" s="58">
        <v>99840000000</v>
      </c>
      <c r="J525" s="58">
        <v>101704976000</v>
      </c>
      <c r="K525" s="58"/>
      <c r="L525" s="58">
        <f t="shared" si="170"/>
        <v>5016608000</v>
      </c>
      <c r="M525" s="58"/>
      <c r="N525" s="58">
        <v>5016608000</v>
      </c>
      <c r="O525" s="58">
        <f t="shared" si="155"/>
        <v>3822246000</v>
      </c>
      <c r="P525" s="58"/>
      <c r="Q525" s="58">
        <v>3822246000</v>
      </c>
      <c r="R525" s="58">
        <f t="shared" si="156"/>
        <v>1817652000</v>
      </c>
      <c r="S525" s="58"/>
      <c r="T525" s="58">
        <v>1817652000</v>
      </c>
      <c r="U525" s="58">
        <f t="shared" si="171"/>
        <v>206983000</v>
      </c>
      <c r="V525" s="58"/>
      <c r="W525" s="58">
        <v>206983000</v>
      </c>
      <c r="X525" s="122"/>
      <c r="Y525" s="122"/>
      <c r="Z525" s="122"/>
      <c r="AA525" s="122"/>
      <c r="AB525" s="122"/>
      <c r="AC525" s="122"/>
      <c r="AD525" s="122"/>
      <c r="AE525" s="122"/>
      <c r="AF525" s="122"/>
      <c r="AG525" s="122"/>
      <c r="AH525" s="122"/>
      <c r="AI525" s="122"/>
      <c r="AJ525" s="121">
        <f t="shared" si="168"/>
        <v>19345874</v>
      </c>
      <c r="AK525" s="66">
        <f>(733400*0.3)+300000</f>
        <v>520020</v>
      </c>
      <c r="AL525" s="54">
        <v>44445</v>
      </c>
      <c r="AM525" s="116">
        <v>456</v>
      </c>
      <c r="AN525" s="42">
        <v>3623550</v>
      </c>
      <c r="AO525" s="125">
        <f t="shared" si="172"/>
        <v>1231200</v>
      </c>
      <c r="AP525" s="135">
        <v>600000</v>
      </c>
      <c r="AQ525" s="102">
        <v>69296714557644</v>
      </c>
      <c r="AR525" s="102">
        <v>489385684000</v>
      </c>
      <c r="AS525" s="102">
        <v>113314023000</v>
      </c>
      <c r="AT525" s="104">
        <v>204243253000</v>
      </c>
      <c r="AU525" s="55">
        <v>49871536</v>
      </c>
      <c r="AV525" s="99">
        <v>7968996414.6000004</v>
      </c>
      <c r="AX525" s="74">
        <f t="shared" ref="AX525:AX533" si="175">AT525/AQ525</f>
        <v>2.9473728199639485E-3</v>
      </c>
    </row>
    <row r="526" spans="1:50" ht="15">
      <c r="A526" s="28">
        <v>44446</v>
      </c>
      <c r="B526" s="56">
        <v>53337720000</v>
      </c>
      <c r="C526" s="56">
        <v>36909960000</v>
      </c>
      <c r="D526" s="56"/>
      <c r="E526" s="56"/>
      <c r="F526" s="65">
        <f t="shared" si="174"/>
        <v>90247680000</v>
      </c>
      <c r="G526" s="65">
        <f t="shared" si="152"/>
        <v>24366874</v>
      </c>
      <c r="H526" s="58">
        <f t="shared" si="153"/>
        <v>0</v>
      </c>
      <c r="I526" s="57">
        <v>70056500000</v>
      </c>
      <c r="J526" s="57">
        <v>70056500000</v>
      </c>
      <c r="K526" s="57"/>
      <c r="L526" s="58">
        <f t="shared" si="170"/>
        <v>14665199000</v>
      </c>
      <c r="M526" s="57"/>
      <c r="N526" s="57">
        <v>14665199000</v>
      </c>
      <c r="O526" s="58">
        <f t="shared" si="155"/>
        <v>2027975000</v>
      </c>
      <c r="P526" s="57"/>
      <c r="Q526" s="57">
        <v>2027975000</v>
      </c>
      <c r="R526" s="58">
        <f t="shared" si="156"/>
        <v>1357475000</v>
      </c>
      <c r="S526" s="57"/>
      <c r="T526" s="57">
        <v>1357475000</v>
      </c>
      <c r="U526" s="58">
        <f t="shared" si="171"/>
        <v>530935000</v>
      </c>
      <c r="V526" s="57"/>
      <c r="W526" s="57">
        <v>530935000</v>
      </c>
      <c r="X526" s="121"/>
      <c r="Y526" s="121"/>
      <c r="Z526" s="121"/>
      <c r="AA526" s="121"/>
      <c r="AB526" s="121"/>
      <c r="AC526" s="121"/>
      <c r="AD526" s="121"/>
      <c r="AE526" s="121"/>
      <c r="AF526" s="121"/>
      <c r="AG526" s="121"/>
      <c r="AH526" s="121"/>
      <c r="AI526" s="121"/>
      <c r="AJ526" s="121">
        <f t="shared" si="168"/>
        <v>14616981</v>
      </c>
      <c r="AK526" s="59">
        <f>(1179100*0.3)+300000</f>
        <v>653730</v>
      </c>
      <c r="AL526" s="54">
        <v>44446</v>
      </c>
      <c r="AM526" s="60">
        <v>498</v>
      </c>
      <c r="AN526" s="34">
        <f>2550*991</f>
        <v>2527050</v>
      </c>
      <c r="AO526" s="125">
        <f t="shared" si="172"/>
        <v>1344600</v>
      </c>
      <c r="AP526" s="59">
        <f>800000+600000</f>
        <v>1400000</v>
      </c>
      <c r="AQ526" s="100">
        <v>65829324179796</v>
      </c>
      <c r="AR526" s="100">
        <v>280762000000</v>
      </c>
      <c r="AS526" s="100">
        <v>90875189000</v>
      </c>
      <c r="AT526" s="103">
        <v>181122869000</v>
      </c>
      <c r="AU526" s="55">
        <v>44909235</v>
      </c>
      <c r="AV526" s="99">
        <v>8013905649.6000004</v>
      </c>
      <c r="AX526" s="74">
        <f t="shared" si="175"/>
        <v>2.7514010094545267E-3</v>
      </c>
    </row>
    <row r="527" spans="1:50" ht="15">
      <c r="A527" s="28">
        <v>44447</v>
      </c>
      <c r="B527" s="56">
        <v>42037695000</v>
      </c>
      <c r="C527" s="56"/>
      <c r="D527" s="56"/>
      <c r="E527" s="56"/>
      <c r="F527" s="65">
        <f t="shared" si="174"/>
        <v>42037695000</v>
      </c>
      <c r="G527" s="65">
        <f t="shared" si="152"/>
        <v>11350178</v>
      </c>
      <c r="H527" s="58">
        <f t="shared" si="153"/>
        <v>0</v>
      </c>
      <c r="I527" s="57">
        <v>46203500000</v>
      </c>
      <c r="J527" s="57">
        <v>46203500000</v>
      </c>
      <c r="K527" s="57"/>
      <c r="L527" s="58">
        <f t="shared" si="170"/>
        <v>14278411000</v>
      </c>
      <c r="M527" s="57"/>
      <c r="N527" s="57">
        <v>14278411000</v>
      </c>
      <c r="O527" s="58">
        <f t="shared" si="155"/>
        <v>1399111000</v>
      </c>
      <c r="P527" s="57"/>
      <c r="Q527" s="57">
        <v>1399111000</v>
      </c>
      <c r="R527" s="58">
        <f t="shared" si="156"/>
        <v>1374665000</v>
      </c>
      <c r="S527" s="57"/>
      <c r="T527" s="57">
        <v>1374665000</v>
      </c>
      <c r="U527" s="58">
        <f t="shared" si="171"/>
        <v>247080000</v>
      </c>
      <c r="V527" s="57"/>
      <c r="W527" s="57">
        <v>247080000</v>
      </c>
      <c r="X527" s="121"/>
      <c r="Y527" s="121"/>
      <c r="Z527" s="121"/>
      <c r="AA527" s="121"/>
      <c r="AB527" s="121"/>
      <c r="AC527" s="121"/>
      <c r="AD527" s="121"/>
      <c r="AE527" s="121"/>
      <c r="AF527" s="121"/>
      <c r="AG527" s="121"/>
      <c r="AH527" s="121"/>
      <c r="AI527" s="121"/>
      <c r="AJ527" s="121">
        <f t="shared" si="168"/>
        <v>10184951</v>
      </c>
      <c r="AK527" s="59">
        <f>(1429400*0.3)+300000</f>
        <v>728820</v>
      </c>
      <c r="AL527" s="54">
        <v>44447</v>
      </c>
      <c r="AM527" s="60">
        <v>434</v>
      </c>
      <c r="AN527" s="34">
        <f>2550*557</f>
        <v>1420350</v>
      </c>
      <c r="AO527" s="125">
        <f t="shared" si="172"/>
        <v>1171800</v>
      </c>
      <c r="AP527" s="59"/>
      <c r="AQ527" s="100">
        <v>48319361242448</v>
      </c>
      <c r="AR527" s="100">
        <v>332273860000</v>
      </c>
      <c r="AS527" s="100">
        <v>64258290000</v>
      </c>
      <c r="AT527" s="103">
        <v>106295985000</v>
      </c>
      <c r="AU527" s="55">
        <v>24856099</v>
      </c>
      <c r="AV527" s="99">
        <v>8038761748.6000004</v>
      </c>
      <c r="AW527" s="79"/>
      <c r="AX527" s="74">
        <f t="shared" si="175"/>
        <v>2.1998632073517606E-3</v>
      </c>
    </row>
    <row r="528" spans="1:50" ht="15">
      <c r="A528" s="28">
        <v>44448</v>
      </c>
      <c r="B528" s="56">
        <v>11241820000</v>
      </c>
      <c r="C528" s="56">
        <v>6914650000</v>
      </c>
      <c r="D528" s="56"/>
      <c r="E528" s="56"/>
      <c r="F528" s="65">
        <f t="shared" si="174"/>
        <v>18156470000</v>
      </c>
      <c r="G528" s="65">
        <f t="shared" si="152"/>
        <v>4902247</v>
      </c>
      <c r="H528" s="58">
        <f t="shared" si="153"/>
        <v>0</v>
      </c>
      <c r="I528" s="57">
        <v>0</v>
      </c>
      <c r="J528" s="57">
        <v>0</v>
      </c>
      <c r="K528" s="57"/>
      <c r="L528" s="58">
        <f t="shared" si="170"/>
        <v>6674820000</v>
      </c>
      <c r="M528" s="57"/>
      <c r="N528" s="57">
        <v>6674820000</v>
      </c>
      <c r="O528" s="58">
        <f t="shared" si="155"/>
        <v>896951000</v>
      </c>
      <c r="P528" s="57"/>
      <c r="Q528" s="57">
        <v>896951000</v>
      </c>
      <c r="R528" s="58">
        <f t="shared" si="156"/>
        <v>586932000</v>
      </c>
      <c r="S528" s="57"/>
      <c r="T528" s="57">
        <v>586932000</v>
      </c>
      <c r="U528" s="58">
        <f t="shared" si="171"/>
        <v>323346000</v>
      </c>
      <c r="V528" s="57"/>
      <c r="W528" s="57">
        <v>323346000</v>
      </c>
      <c r="X528" s="121"/>
      <c r="Y528" s="121"/>
      <c r="Z528" s="121"/>
      <c r="AA528" s="121"/>
      <c r="AB528" s="121"/>
      <c r="AC528" s="121"/>
      <c r="AD528" s="121"/>
      <c r="AE528" s="121"/>
      <c r="AF528" s="121"/>
      <c r="AG528" s="121"/>
      <c r="AH528" s="121"/>
      <c r="AI528" s="121"/>
      <c r="AJ528" s="121">
        <f t="shared" si="168"/>
        <v>916061</v>
      </c>
      <c r="AK528" s="59">
        <f>527100*0.3</f>
        <v>158130</v>
      </c>
      <c r="AL528" s="54">
        <v>44448</v>
      </c>
      <c r="AM528" s="60">
        <v>167</v>
      </c>
      <c r="AN528" s="34">
        <f>2550*390</f>
        <v>994500</v>
      </c>
      <c r="AO528" s="125">
        <f t="shared" si="172"/>
        <v>450900</v>
      </c>
      <c r="AP528" s="59">
        <v>600000</v>
      </c>
      <c r="AQ528" s="100">
        <v>47395257019360</v>
      </c>
      <c r="AR528" s="100">
        <v>473684547000</v>
      </c>
      <c r="AS528" s="100">
        <v>9344630000</v>
      </c>
      <c r="AT528" s="103">
        <v>27501100000</v>
      </c>
      <c r="AU528" s="55">
        <v>8021838</v>
      </c>
      <c r="AV528" s="99">
        <v>8046783586.6000004</v>
      </c>
      <c r="AW528" s="79"/>
      <c r="AX528" s="74">
        <f t="shared" si="175"/>
        <v>5.8025004461451405E-4</v>
      </c>
    </row>
    <row r="529" spans="1:50" ht="15">
      <c r="A529" s="28">
        <v>44449</v>
      </c>
      <c r="B529" s="56">
        <v>12448520000</v>
      </c>
      <c r="C529" s="65">
        <v>12822640000</v>
      </c>
      <c r="D529" s="141"/>
      <c r="E529" s="65"/>
      <c r="F529" s="65">
        <f t="shared" ref="F529:F533" si="176">SUM(B529:E529)</f>
        <v>25271160000</v>
      </c>
      <c r="G529" s="65">
        <f t="shared" si="152"/>
        <v>6823213</v>
      </c>
      <c r="H529" s="58">
        <f t="shared" si="153"/>
        <v>290238000</v>
      </c>
      <c r="I529" s="58"/>
      <c r="J529" s="58">
        <v>290238000</v>
      </c>
      <c r="K529" s="58"/>
      <c r="L529" s="58">
        <f t="shared" si="170"/>
        <v>4648817000</v>
      </c>
      <c r="M529" s="58"/>
      <c r="N529" s="58">
        <v>4648817000</v>
      </c>
      <c r="O529" s="58">
        <f t="shared" si="155"/>
        <v>1988936000</v>
      </c>
      <c r="P529" s="58"/>
      <c r="Q529" s="58">
        <v>1988936000</v>
      </c>
      <c r="R529" s="58">
        <f t="shared" si="156"/>
        <v>658448000</v>
      </c>
      <c r="S529" s="58"/>
      <c r="T529" s="58">
        <v>658448000</v>
      </c>
      <c r="U529" s="58">
        <f t="shared" si="171"/>
        <v>138623000</v>
      </c>
      <c r="V529" s="58"/>
      <c r="W529" s="58">
        <v>138623000</v>
      </c>
      <c r="X529" s="122"/>
      <c r="Y529" s="122"/>
      <c r="Z529" s="122"/>
      <c r="AA529" s="122"/>
      <c r="AB529" s="122"/>
      <c r="AC529" s="122"/>
      <c r="AD529" s="122"/>
      <c r="AE529" s="122"/>
      <c r="AF529" s="122"/>
      <c r="AG529" s="122"/>
      <c r="AH529" s="122"/>
      <c r="AI529" s="122"/>
      <c r="AJ529" s="121">
        <f t="shared" si="168"/>
        <v>834307</v>
      </c>
      <c r="AK529" s="66">
        <f>266100*0.3</f>
        <v>79830</v>
      </c>
      <c r="AL529" s="54">
        <v>44449</v>
      </c>
      <c r="AM529" s="116">
        <v>178</v>
      </c>
      <c r="AN529" s="42">
        <f>2550*3*462</f>
        <v>3534300</v>
      </c>
      <c r="AO529" s="125">
        <f t="shared" si="172"/>
        <v>480600</v>
      </c>
      <c r="AP529" s="135">
        <v>600000</v>
      </c>
      <c r="AQ529" s="102">
        <v>49119640342800</v>
      </c>
      <c r="AR529" s="102">
        <v>115674266000</v>
      </c>
      <c r="AS529" s="102">
        <v>8273562000</v>
      </c>
      <c r="AT529" s="104">
        <v>33544722000</v>
      </c>
      <c r="AU529" s="55">
        <v>12352250</v>
      </c>
      <c r="AV529" s="99">
        <v>8059135836.6000004</v>
      </c>
      <c r="AX529" s="74">
        <f t="shared" si="175"/>
        <v>6.829187218370383E-4</v>
      </c>
    </row>
    <row r="530" spans="1:50" ht="15">
      <c r="A530" s="28">
        <v>44452</v>
      </c>
      <c r="B530" s="56">
        <v>10791125000</v>
      </c>
      <c r="C530" s="56">
        <v>45793195000</v>
      </c>
      <c r="D530" s="56"/>
      <c r="E530" s="56"/>
      <c r="F530" s="65">
        <f t="shared" si="176"/>
        <v>56584320000</v>
      </c>
      <c r="G530" s="65">
        <f t="shared" si="152"/>
        <v>15277766</v>
      </c>
      <c r="H530" s="58">
        <f t="shared" si="153"/>
        <v>8406608000</v>
      </c>
      <c r="I530" s="57"/>
      <c r="J530" s="57">
        <v>8406608000</v>
      </c>
      <c r="K530" s="57"/>
      <c r="L530" s="58">
        <f t="shared" si="170"/>
        <v>5262601000</v>
      </c>
      <c r="M530" s="57"/>
      <c r="N530" s="57">
        <v>5262601000</v>
      </c>
      <c r="O530" s="58">
        <f t="shared" si="155"/>
        <v>936808000</v>
      </c>
      <c r="P530" s="57"/>
      <c r="Q530" s="57">
        <v>936808000</v>
      </c>
      <c r="R530" s="58">
        <f t="shared" si="156"/>
        <v>1665591000</v>
      </c>
      <c r="S530" s="57"/>
      <c r="T530" s="57">
        <v>1665591000</v>
      </c>
      <c r="U530" s="58">
        <f t="shared" si="171"/>
        <v>1479400000</v>
      </c>
      <c r="V530" s="57"/>
      <c r="W530" s="57">
        <v>1479400000</v>
      </c>
      <c r="X530" s="121"/>
      <c r="Y530" s="121"/>
      <c r="Z530" s="121"/>
      <c r="AA530" s="121"/>
      <c r="AB530" s="121"/>
      <c r="AC530" s="121"/>
      <c r="AD530" s="121"/>
      <c r="AE530" s="121"/>
      <c r="AF530" s="121"/>
      <c r="AG530" s="121"/>
      <c r="AH530" s="121"/>
      <c r="AI530" s="121"/>
      <c r="AJ530" s="121">
        <f t="shared" si="168"/>
        <v>1917109</v>
      </c>
      <c r="AK530" s="59">
        <f>837000*0.3</f>
        <v>251100</v>
      </c>
      <c r="AL530" s="54">
        <v>44452</v>
      </c>
      <c r="AM530" s="60">
        <v>371</v>
      </c>
      <c r="AN530" s="34">
        <f>2550*395</f>
        <v>1007250</v>
      </c>
      <c r="AO530" s="125">
        <f t="shared" si="172"/>
        <v>1001700</v>
      </c>
      <c r="AP530" s="59">
        <v>600000</v>
      </c>
      <c r="AQ530" s="100">
        <v>58377587599000</v>
      </c>
      <c r="AR530" s="100">
        <v>114600444000</v>
      </c>
      <c r="AS530" s="100">
        <v>18310502000</v>
      </c>
      <c r="AT530" s="103">
        <v>74894822000</v>
      </c>
      <c r="AU530" s="55">
        <v>20054925</v>
      </c>
      <c r="AV530" s="99">
        <v>8079190761.6000004</v>
      </c>
      <c r="AX530" s="74">
        <f t="shared" si="175"/>
        <v>1.2829379404037404E-3</v>
      </c>
    </row>
    <row r="531" spans="1:50" ht="15">
      <c r="A531" s="28">
        <v>44453</v>
      </c>
      <c r="B531" s="56">
        <v>10697290000</v>
      </c>
      <c r="C531" s="56"/>
      <c r="D531" s="56"/>
      <c r="E531" s="56"/>
      <c r="F531" s="65">
        <f t="shared" si="176"/>
        <v>10697290000</v>
      </c>
      <c r="G531" s="65">
        <f t="shared" si="152"/>
        <v>2888268</v>
      </c>
      <c r="H531" s="58">
        <f t="shared" si="153"/>
        <v>553624000</v>
      </c>
      <c r="I531" s="57"/>
      <c r="J531" s="57">
        <v>553624000</v>
      </c>
      <c r="K531" s="57"/>
      <c r="L531" s="58">
        <f t="shared" si="170"/>
        <v>444922000</v>
      </c>
      <c r="M531" s="57"/>
      <c r="N531" s="57">
        <v>444922000</v>
      </c>
      <c r="O531" s="58">
        <f t="shared" si="155"/>
        <v>8126000</v>
      </c>
      <c r="P531" s="57"/>
      <c r="Q531" s="57">
        <v>8126000</v>
      </c>
      <c r="R531" s="58">
        <f t="shared" si="156"/>
        <v>975815000</v>
      </c>
      <c r="S531" s="57"/>
      <c r="T531" s="57">
        <v>975815000</v>
      </c>
      <c r="U531" s="58">
        <f t="shared" si="171"/>
        <v>556530000</v>
      </c>
      <c r="V531" s="57"/>
      <c r="W531" s="57">
        <v>556530000</v>
      </c>
      <c r="X531" s="121"/>
      <c r="Y531" s="121"/>
      <c r="Z531" s="121"/>
      <c r="AA531" s="121"/>
      <c r="AB531" s="121"/>
      <c r="AC531" s="121"/>
      <c r="AD531" s="121"/>
      <c r="AE531" s="121"/>
      <c r="AF531" s="121"/>
      <c r="AG531" s="121"/>
      <c r="AH531" s="121"/>
      <c r="AI531" s="121"/>
      <c r="AJ531" s="121">
        <f t="shared" si="168"/>
        <v>274214</v>
      </c>
      <c r="AK531" s="59">
        <f>92500*0.3</f>
        <v>27750</v>
      </c>
      <c r="AL531" s="54">
        <v>44453</v>
      </c>
      <c r="AM531" s="60">
        <v>480</v>
      </c>
      <c r="AN531" s="34">
        <f>2550*461</f>
        <v>1175550</v>
      </c>
      <c r="AO531" s="125">
        <f t="shared" si="172"/>
        <v>1296000</v>
      </c>
      <c r="AP531" s="59"/>
      <c r="AQ531" s="100">
        <v>49608731294192</v>
      </c>
      <c r="AR531" s="100">
        <v>98316000000</v>
      </c>
      <c r="AS531" s="100">
        <v>6478304000</v>
      </c>
      <c r="AT531" s="103">
        <v>17175594000</v>
      </c>
      <c r="AU531" s="55">
        <v>5661782</v>
      </c>
      <c r="AV531" s="99">
        <v>8084852543.6000004</v>
      </c>
      <c r="AX531" s="74">
        <f t="shared" si="175"/>
        <v>3.462211903413634E-4</v>
      </c>
    </row>
    <row r="532" spans="1:50" ht="15">
      <c r="A532" s="28">
        <v>44454</v>
      </c>
      <c r="B532" s="56">
        <v>50323105000</v>
      </c>
      <c r="C532" s="56"/>
      <c r="D532" s="56"/>
      <c r="E532" s="56"/>
      <c r="F532" s="65">
        <f t="shared" si="176"/>
        <v>50323105000</v>
      </c>
      <c r="G532" s="65">
        <f t="shared" si="152"/>
        <v>13587238</v>
      </c>
      <c r="H532" s="58">
        <f t="shared" si="153"/>
        <v>2420260000</v>
      </c>
      <c r="I532" s="57"/>
      <c r="J532" s="57">
        <v>2420260000</v>
      </c>
      <c r="K532" s="57"/>
      <c r="L532" s="58">
        <f t="shared" si="170"/>
        <v>5312188000</v>
      </c>
      <c r="M532" s="57">
        <v>12800000000</v>
      </c>
      <c r="N532" s="57">
        <v>18112188000</v>
      </c>
      <c r="O532" s="58">
        <f t="shared" si="155"/>
        <v>14114000</v>
      </c>
      <c r="P532" s="57"/>
      <c r="Q532" s="57">
        <v>14114000</v>
      </c>
      <c r="R532" s="58">
        <f t="shared" si="156"/>
        <v>642206000</v>
      </c>
      <c r="S532" s="57"/>
      <c r="T532" s="57">
        <v>642206000</v>
      </c>
      <c r="U532" s="58">
        <f t="shared" si="171"/>
        <v>129505000</v>
      </c>
      <c r="V532" s="57"/>
      <c r="W532" s="57">
        <v>129505000</v>
      </c>
      <c r="X532" s="121"/>
      <c r="Y532" s="121"/>
      <c r="Z532" s="121"/>
      <c r="AA532" s="121"/>
      <c r="AB532" s="121"/>
      <c r="AC532" s="121"/>
      <c r="AD532" s="121"/>
      <c r="AE532" s="121"/>
      <c r="AF532" s="121"/>
      <c r="AG532" s="121"/>
      <c r="AH532" s="121"/>
      <c r="AI532" s="121"/>
      <c r="AJ532" s="121">
        <f t="shared" si="168"/>
        <v>3223973</v>
      </c>
      <c r="AK532" s="59">
        <v>8269</v>
      </c>
      <c r="AL532" s="54">
        <v>44454</v>
      </c>
      <c r="AM532" s="60">
        <v>617</v>
      </c>
      <c r="AN532" s="34">
        <f>2550*600</f>
        <v>1530000</v>
      </c>
      <c r="AO532" s="125">
        <f t="shared" si="172"/>
        <v>1665900</v>
      </c>
      <c r="AP532" s="59"/>
      <c r="AQ532" s="100">
        <v>49636143876000</v>
      </c>
      <c r="AR532" s="100">
        <v>197975460000</v>
      </c>
      <c r="AS532" s="100">
        <v>34663773000</v>
      </c>
      <c r="AT532" s="103">
        <v>84986878000</v>
      </c>
      <c r="AU532" s="55">
        <v>20015380</v>
      </c>
      <c r="AV532" s="99">
        <v>8104867923.6000004</v>
      </c>
      <c r="AX532" s="74">
        <f t="shared" si="175"/>
        <v>1.7121974304110425E-3</v>
      </c>
    </row>
    <row r="533" spans="1:50" ht="15">
      <c r="A533" s="28">
        <v>44455</v>
      </c>
      <c r="B533" s="118">
        <v>8506445000</v>
      </c>
      <c r="C533" s="118"/>
      <c r="D533" s="118"/>
      <c r="E533" s="118"/>
      <c r="F533" s="65">
        <f t="shared" si="176"/>
        <v>8506445000</v>
      </c>
      <c r="G533" s="65">
        <f t="shared" si="152"/>
        <v>2296740</v>
      </c>
      <c r="H533" s="58">
        <f t="shared" si="153"/>
        <v>3897909000</v>
      </c>
      <c r="I533" s="121">
        <v>19476000000</v>
      </c>
      <c r="J533" s="121">
        <v>23373909000</v>
      </c>
      <c r="K533" s="121"/>
      <c r="L533" s="58">
        <f t="shared" si="170"/>
        <v>8461742000</v>
      </c>
      <c r="M533" s="121"/>
      <c r="N533" s="121">
        <v>8461742000</v>
      </c>
      <c r="O533" s="58">
        <f t="shared" si="155"/>
        <v>12201000</v>
      </c>
      <c r="P533" s="121"/>
      <c r="Q533" s="121">
        <v>12201000</v>
      </c>
      <c r="R533" s="58">
        <f t="shared" si="156"/>
        <v>770281000</v>
      </c>
      <c r="S533" s="121"/>
      <c r="T533" s="121">
        <v>770281000</v>
      </c>
      <c r="U533" s="58">
        <f t="shared" si="171"/>
        <v>391562000</v>
      </c>
      <c r="V533" s="121"/>
      <c r="W533" s="121">
        <v>391562000</v>
      </c>
      <c r="X533" s="121"/>
      <c r="Y533" s="121"/>
      <c r="Z533" s="121"/>
      <c r="AA533" s="121"/>
      <c r="AB533" s="121"/>
      <c r="AC533" s="121"/>
      <c r="AD533" s="121"/>
      <c r="AE533" s="121"/>
      <c r="AF533" s="121"/>
      <c r="AG533" s="121"/>
      <c r="AH533" s="121"/>
      <c r="AI533" s="121"/>
      <c r="AJ533" s="121">
        <f t="shared" si="168"/>
        <v>4967319</v>
      </c>
      <c r="AK533" s="124">
        <f>539800*0.3</f>
        <v>161940</v>
      </c>
      <c r="AL533" s="54">
        <v>44455</v>
      </c>
      <c r="AM533" s="125">
        <v>153</v>
      </c>
      <c r="AN533" s="54">
        <f>2550*501</f>
        <v>1277550</v>
      </c>
      <c r="AO533" s="125">
        <f t="shared" si="172"/>
        <v>413100</v>
      </c>
      <c r="AP533" s="124"/>
      <c r="AQ533" s="101">
        <v>47434501401800</v>
      </c>
      <c r="AR533" s="101">
        <v>179014000000</v>
      </c>
      <c r="AS533" s="101">
        <v>53072671000</v>
      </c>
      <c r="AT533" s="105">
        <v>61579116000</v>
      </c>
      <c r="AU533" s="55">
        <v>9116649</v>
      </c>
      <c r="AV533" s="99">
        <v>8113984572.6000004</v>
      </c>
      <c r="AX533" s="74">
        <f t="shared" si="175"/>
        <v>1.2981925429844036E-3</v>
      </c>
    </row>
    <row r="534" spans="1:50" ht="15">
      <c r="A534" s="28">
        <v>44456</v>
      </c>
      <c r="B534" s="56">
        <v>23390910000</v>
      </c>
      <c r="C534" s="65"/>
      <c r="D534" s="141"/>
      <c r="E534" s="65"/>
      <c r="F534" s="65">
        <f t="shared" ref="F534:F538" si="177">SUM(B534:E534)</f>
        <v>23390910000</v>
      </c>
      <c r="G534" s="65">
        <f t="shared" si="152"/>
        <v>6315546</v>
      </c>
      <c r="H534" s="58">
        <f t="shared" si="153"/>
        <v>0</v>
      </c>
      <c r="I534" s="58"/>
      <c r="J534" s="58"/>
      <c r="K534" s="58"/>
      <c r="L534" s="58">
        <f t="shared" si="170"/>
        <v>6504647000</v>
      </c>
      <c r="M534" s="58">
        <v>13005000000</v>
      </c>
      <c r="N534" s="58">
        <v>19509647000</v>
      </c>
      <c r="O534" s="58">
        <f t="shared" si="155"/>
        <v>80818000</v>
      </c>
      <c r="P534" s="58"/>
      <c r="Q534" s="58">
        <v>80818000</v>
      </c>
      <c r="R534" s="58">
        <f t="shared" si="156"/>
        <v>648891000</v>
      </c>
      <c r="S534" s="58"/>
      <c r="T534" s="58">
        <v>648891000</v>
      </c>
      <c r="U534" s="58">
        <f t="shared" si="171"/>
        <v>523924000</v>
      </c>
      <c r="V534" s="58"/>
      <c r="W534" s="58">
        <v>523924000</v>
      </c>
      <c r="X534" s="122"/>
      <c r="Y534" s="122"/>
      <c r="Z534" s="122"/>
      <c r="AA534" s="122"/>
      <c r="AB534" s="122"/>
      <c r="AC534" s="122"/>
      <c r="AD534" s="122"/>
      <c r="AE534" s="122"/>
      <c r="AF534" s="122"/>
      <c r="AG534" s="122"/>
      <c r="AH534" s="122"/>
      <c r="AI534" s="122"/>
      <c r="AJ534" s="121">
        <f t="shared" si="168"/>
        <v>3178794</v>
      </c>
      <c r="AK534" s="66">
        <f>379800*0.3</f>
        <v>113940</v>
      </c>
      <c r="AL534" s="54">
        <v>44456</v>
      </c>
      <c r="AM534" s="116">
        <v>452</v>
      </c>
      <c r="AN534" s="42">
        <f>2550*3*803</f>
        <v>6142950</v>
      </c>
      <c r="AO534" s="125">
        <f t="shared" si="172"/>
        <v>1220400</v>
      </c>
      <c r="AP534" s="135"/>
      <c r="AQ534" s="102">
        <v>65223576385600</v>
      </c>
      <c r="AR534" s="102">
        <v>625220000000</v>
      </c>
      <c r="AS534" s="102">
        <v>21689928000</v>
      </c>
      <c r="AT534" s="104">
        <v>45080838000</v>
      </c>
      <c r="AU534" s="55">
        <v>16971630</v>
      </c>
      <c r="AV534" s="99">
        <v>8130956202.6000004</v>
      </c>
      <c r="AX534" s="74">
        <f t="shared" ref="AX534:AX538" si="178">AT534/AQ534</f>
        <v>6.9117396650381936E-4</v>
      </c>
    </row>
    <row r="535" spans="1:50" ht="15">
      <c r="A535" s="28">
        <v>44459</v>
      </c>
      <c r="B535" s="56">
        <v>32732835000</v>
      </c>
      <c r="C535" s="56"/>
      <c r="D535" s="56">
        <v>4994570000</v>
      </c>
      <c r="E535" s="56"/>
      <c r="F535" s="65">
        <f t="shared" si="177"/>
        <v>37727405000</v>
      </c>
      <c r="G535" s="65">
        <f t="shared" si="152"/>
        <v>10186399</v>
      </c>
      <c r="H535" s="58">
        <f t="shared" si="153"/>
        <v>14811000</v>
      </c>
      <c r="I535" s="57"/>
      <c r="J535" s="57">
        <v>14811000</v>
      </c>
      <c r="K535" s="57"/>
      <c r="L535" s="58">
        <f t="shared" si="170"/>
        <v>2216145000</v>
      </c>
      <c r="M535" s="57"/>
      <c r="N535" s="57">
        <v>2216145000</v>
      </c>
      <c r="O535" s="58">
        <f t="shared" si="155"/>
        <v>815365000</v>
      </c>
      <c r="P535" s="57"/>
      <c r="Q535" s="57">
        <v>815365000</v>
      </c>
      <c r="R535" s="58">
        <f t="shared" si="156"/>
        <v>649369000</v>
      </c>
      <c r="S535" s="57"/>
      <c r="T535" s="57">
        <v>649369000</v>
      </c>
      <c r="U535" s="58">
        <f t="shared" si="171"/>
        <v>300650000</v>
      </c>
      <c r="V535" s="57"/>
      <c r="W535" s="57">
        <v>300650000</v>
      </c>
      <c r="X535" s="121"/>
      <c r="Y535" s="121"/>
      <c r="Z535" s="121"/>
      <c r="AA535" s="121"/>
      <c r="AB535" s="121"/>
      <c r="AC535" s="121"/>
      <c r="AD535" s="121"/>
      <c r="AE535" s="121"/>
      <c r="AF535" s="121"/>
      <c r="AG535" s="121"/>
      <c r="AH535" s="121"/>
      <c r="AI535" s="121"/>
      <c r="AJ535" s="121">
        <f t="shared" si="168"/>
        <v>431605</v>
      </c>
      <c r="AK535" s="59">
        <f>383500*0.3</f>
        <v>115050</v>
      </c>
      <c r="AL535" s="54">
        <v>44459</v>
      </c>
      <c r="AM535" s="60">
        <v>280</v>
      </c>
      <c r="AN535" s="34">
        <f>2550*861</f>
        <v>2195550</v>
      </c>
      <c r="AO535" s="125">
        <f t="shared" si="172"/>
        <v>756000</v>
      </c>
      <c r="AP535" s="59"/>
      <c r="AQ535" s="100">
        <v>62946560092442</v>
      </c>
      <c r="AR535" s="100">
        <v>56521124000</v>
      </c>
      <c r="AS535" s="100">
        <v>4859064000</v>
      </c>
      <c r="AT535" s="103">
        <v>42586469000</v>
      </c>
      <c r="AU535" s="55">
        <v>13684604</v>
      </c>
      <c r="AV535" s="99">
        <v>8144640806.6000004</v>
      </c>
      <c r="AX535" s="74">
        <f t="shared" si="178"/>
        <v>6.7654958328871987E-4</v>
      </c>
    </row>
    <row r="536" spans="1:50" ht="15">
      <c r="A536" s="28">
        <v>44460</v>
      </c>
      <c r="B536" s="56">
        <v>10770232000</v>
      </c>
      <c r="C536" s="56"/>
      <c r="D536" s="56"/>
      <c r="E536" s="56"/>
      <c r="F536" s="65">
        <f t="shared" si="177"/>
        <v>10770232000</v>
      </c>
      <c r="G536" s="65">
        <f t="shared" si="152"/>
        <v>2907963</v>
      </c>
      <c r="H536" s="58">
        <f t="shared" si="153"/>
        <v>2121224000</v>
      </c>
      <c r="I536" s="57">
        <v>125930000000</v>
      </c>
      <c r="J536" s="57">
        <v>128051224000</v>
      </c>
      <c r="K536" s="57"/>
      <c r="L536" s="58">
        <f t="shared" si="170"/>
        <v>1817078000</v>
      </c>
      <c r="M536" s="57"/>
      <c r="N536" s="57">
        <v>1817078000</v>
      </c>
      <c r="O536" s="58">
        <f t="shared" si="155"/>
        <v>180880000</v>
      </c>
      <c r="P536" s="57"/>
      <c r="Q536" s="57">
        <v>180880000</v>
      </c>
      <c r="R536" s="58">
        <f t="shared" si="156"/>
        <v>690348000</v>
      </c>
      <c r="S536" s="57"/>
      <c r="T536" s="57">
        <v>690348000</v>
      </c>
      <c r="U536" s="58">
        <f t="shared" si="171"/>
        <v>116555000</v>
      </c>
      <c r="V536" s="57"/>
      <c r="W536" s="57">
        <v>116555000</v>
      </c>
      <c r="X536" s="121"/>
      <c r="Y536" s="121"/>
      <c r="Z536" s="121"/>
      <c r="AA536" s="121"/>
      <c r="AB536" s="121"/>
      <c r="AC536" s="121"/>
      <c r="AD536" s="121"/>
      <c r="AE536" s="121"/>
      <c r="AF536" s="121"/>
      <c r="AG536" s="121"/>
      <c r="AH536" s="121"/>
      <c r="AI536" s="121"/>
      <c r="AJ536" s="121">
        <f t="shared" si="168"/>
        <v>23199417</v>
      </c>
      <c r="AK536" s="59">
        <f>(199700*0.3)+116100</f>
        <v>176010</v>
      </c>
      <c r="AL536" s="54">
        <v>44460</v>
      </c>
      <c r="AM536" s="60">
        <v>908</v>
      </c>
      <c r="AN536" s="34">
        <f>2550*1637</f>
        <v>4174350</v>
      </c>
      <c r="AO536" s="125">
        <f t="shared" si="172"/>
        <v>2451600</v>
      </c>
      <c r="AP536" s="59"/>
      <c r="AQ536" s="100">
        <v>59508933012000</v>
      </c>
      <c r="AR536" s="100">
        <v>762915660000</v>
      </c>
      <c r="AS536" s="100">
        <v>131500107000</v>
      </c>
      <c r="AT536" s="103">
        <v>142270339000</v>
      </c>
      <c r="AU536" s="55">
        <v>32909340</v>
      </c>
      <c r="AV536" s="99">
        <v>8177550146.6000004</v>
      </c>
      <c r="AX536" s="74">
        <f t="shared" si="178"/>
        <v>2.390739201647442E-3</v>
      </c>
    </row>
    <row r="537" spans="1:50" ht="15">
      <c r="A537" s="28">
        <v>44461</v>
      </c>
      <c r="B537" s="56">
        <v>18474610000</v>
      </c>
      <c r="C537" s="56"/>
      <c r="D537" s="56"/>
      <c r="E537" s="56"/>
      <c r="F537" s="65">
        <f t="shared" si="177"/>
        <v>18474610000</v>
      </c>
      <c r="G537" s="65">
        <f t="shared" si="152"/>
        <v>4988145</v>
      </c>
      <c r="H537" s="58">
        <f>J537-I537</f>
        <v>0</v>
      </c>
      <c r="I537" s="57"/>
      <c r="J537" s="57">
        <v>0</v>
      </c>
      <c r="K537" s="57"/>
      <c r="L537" s="58">
        <f>N537-M537</f>
        <v>5539870000</v>
      </c>
      <c r="M537" s="57">
        <v>25775000000</v>
      </c>
      <c r="N537" s="57">
        <v>31314870000</v>
      </c>
      <c r="O537" s="58">
        <f t="shared" si="155"/>
        <v>202488000</v>
      </c>
      <c r="P537" s="57"/>
      <c r="Q537" s="57">
        <v>202488000</v>
      </c>
      <c r="R537" s="58">
        <f t="shared" si="156"/>
        <v>616352000</v>
      </c>
      <c r="S537" s="57"/>
      <c r="T537" s="57">
        <v>616352000</v>
      </c>
      <c r="U537" s="58">
        <f t="shared" si="171"/>
        <v>317800000</v>
      </c>
      <c r="V537" s="57"/>
      <c r="W537" s="57">
        <v>317800000</v>
      </c>
      <c r="X537" s="121"/>
      <c r="Y537" s="121"/>
      <c r="Z537" s="121"/>
      <c r="AA537" s="121"/>
      <c r="AB537" s="121"/>
      <c r="AC537" s="121"/>
      <c r="AD537" s="121"/>
      <c r="AE537" s="121"/>
      <c r="AF537" s="121"/>
      <c r="AG537" s="121"/>
      <c r="AH537" s="121"/>
      <c r="AI537" s="121"/>
      <c r="AJ537" s="121">
        <f t="shared" si="168"/>
        <v>5360563</v>
      </c>
      <c r="AK537" s="59">
        <f>609500*0.3</f>
        <v>182850</v>
      </c>
      <c r="AL537" s="54">
        <v>44461</v>
      </c>
      <c r="AM537" s="60">
        <v>263</v>
      </c>
      <c r="AN537" s="34">
        <f>2550*1768</f>
        <v>4508400</v>
      </c>
      <c r="AO537" s="125">
        <f t="shared" si="172"/>
        <v>710100</v>
      </c>
      <c r="AP537" s="59"/>
      <c r="AQ537" s="100">
        <v>50143755077000</v>
      </c>
      <c r="AR537" s="100">
        <v>113202080000</v>
      </c>
      <c r="AS537" s="100">
        <v>58773710000</v>
      </c>
      <c r="AT537" s="103">
        <v>77248320000</v>
      </c>
      <c r="AU537" s="55">
        <v>15750058</v>
      </c>
      <c r="AV537" s="99">
        <v>8193300204.6000004</v>
      </c>
      <c r="AX537" s="74">
        <f t="shared" si="178"/>
        <v>1.5405371991263645E-3</v>
      </c>
    </row>
    <row r="538" spans="1:50" ht="15">
      <c r="A538" s="28">
        <v>44462</v>
      </c>
      <c r="B538" s="118">
        <v>31600655000</v>
      </c>
      <c r="C538" s="118">
        <v>16235410000</v>
      </c>
      <c r="D538" s="118"/>
      <c r="E538" s="118"/>
      <c r="F538" s="65">
        <f t="shared" si="177"/>
        <v>47836065000</v>
      </c>
      <c r="G538" s="65">
        <f t="shared" si="152"/>
        <v>12915738</v>
      </c>
      <c r="H538" s="58">
        <f>J538-I538</f>
        <v>735600000</v>
      </c>
      <c r="I538" s="121"/>
      <c r="J538" s="121">
        <v>735600000</v>
      </c>
      <c r="K538" s="121"/>
      <c r="L538" s="58">
        <f t="shared" si="170"/>
        <v>9122262000</v>
      </c>
      <c r="M538" s="121">
        <v>26100000000</v>
      </c>
      <c r="N538" s="121">
        <v>35222262000</v>
      </c>
      <c r="O538" s="58">
        <f t="shared" si="155"/>
        <v>314765000</v>
      </c>
      <c r="P538" s="121"/>
      <c r="Q538" s="121">
        <v>314765000</v>
      </c>
      <c r="R538" s="58">
        <f t="shared" si="156"/>
        <v>641688000</v>
      </c>
      <c r="S538" s="121"/>
      <c r="T538" s="121">
        <v>641688000</v>
      </c>
      <c r="U538" s="58">
        <f t="shared" si="171"/>
        <v>202189000</v>
      </c>
      <c r="V538" s="121"/>
      <c r="W538" s="121">
        <v>202189000</v>
      </c>
      <c r="X538" s="121"/>
      <c r="Y538" s="121"/>
      <c r="Z538" s="121"/>
      <c r="AA538" s="121"/>
      <c r="AB538" s="121"/>
      <c r="AC538" s="121"/>
      <c r="AD538" s="121"/>
      <c r="AE538" s="121"/>
      <c r="AF538" s="121"/>
      <c r="AG538" s="121"/>
      <c r="AH538" s="121"/>
      <c r="AI538" s="121"/>
      <c r="AJ538" s="121">
        <f t="shared" si="168"/>
        <v>5887782</v>
      </c>
      <c r="AK538" s="124">
        <f>1006700*0.3</f>
        <v>302010</v>
      </c>
      <c r="AL538" s="54">
        <v>44462</v>
      </c>
      <c r="AM538" s="125">
        <v>573</v>
      </c>
      <c r="AN538" s="54">
        <f>2550*1553</f>
        <v>3960150</v>
      </c>
      <c r="AO538" s="125">
        <f t="shared" si="172"/>
        <v>1547100</v>
      </c>
      <c r="AP538" s="124">
        <f>600000+900000</f>
        <v>1500000</v>
      </c>
      <c r="AQ538" s="101">
        <v>59058999486800</v>
      </c>
      <c r="AR538" s="100">
        <v>214488282000</v>
      </c>
      <c r="AS538" s="101">
        <v>64402656000</v>
      </c>
      <c r="AT538" s="105">
        <v>112238721000</v>
      </c>
      <c r="AU538" s="55">
        <v>26112780</v>
      </c>
      <c r="AV538" s="99">
        <v>8219412984.6000004</v>
      </c>
      <c r="AX538" s="74">
        <f t="shared" si="178"/>
        <v>1.9004507691513797E-3</v>
      </c>
    </row>
    <row r="539" spans="1:50" ht="15">
      <c r="A539" s="28">
        <v>44463</v>
      </c>
      <c r="B539" s="56">
        <v>86721935000</v>
      </c>
      <c r="C539" s="65">
        <v>38132810000</v>
      </c>
      <c r="D539" s="141"/>
      <c r="E539" s="65">
        <v>3442920000</v>
      </c>
      <c r="F539" s="65">
        <f t="shared" ref="F539:F543" si="179">SUM(B539:E539)</f>
        <v>128297665000</v>
      </c>
      <c r="G539" s="65">
        <f t="shared" si="152"/>
        <v>34640370</v>
      </c>
      <c r="H539" s="58">
        <f t="shared" ref="H539:H540" si="180">J539-I539</f>
        <v>3358983000</v>
      </c>
      <c r="I539" s="58">
        <v>29436000000</v>
      </c>
      <c r="J539" s="58">
        <v>32794983000</v>
      </c>
      <c r="K539" s="58"/>
      <c r="L539" s="58">
        <f t="shared" si="170"/>
        <v>2621127000</v>
      </c>
      <c r="M539" s="58"/>
      <c r="N539" s="58">
        <v>2621127000</v>
      </c>
      <c r="O539" s="58">
        <f t="shared" si="155"/>
        <v>505611000</v>
      </c>
      <c r="P539" s="58"/>
      <c r="Q539" s="58">
        <v>505611000</v>
      </c>
      <c r="R539" s="58">
        <f t="shared" si="156"/>
        <v>599446000</v>
      </c>
      <c r="S539" s="58"/>
      <c r="T539" s="58">
        <v>599446000</v>
      </c>
      <c r="U539" s="58">
        <f t="shared" si="171"/>
        <v>61541000</v>
      </c>
      <c r="V539" s="58"/>
      <c r="W539" s="58">
        <v>61541000</v>
      </c>
      <c r="X539" s="122"/>
      <c r="Y539" s="122"/>
      <c r="Z539" s="122"/>
      <c r="AA539" s="122"/>
      <c r="AB539" s="122"/>
      <c r="AC539" s="122"/>
      <c r="AD539" s="122"/>
      <c r="AE539" s="122"/>
      <c r="AF539" s="122"/>
      <c r="AG539" s="122"/>
      <c r="AH539" s="122"/>
      <c r="AI539" s="122"/>
      <c r="AJ539" s="121">
        <f t="shared" si="168"/>
        <v>6070324</v>
      </c>
      <c r="AK539" s="66">
        <f>(1956500*0.3)</f>
        <v>586950</v>
      </c>
      <c r="AL539" s="54">
        <v>44463</v>
      </c>
      <c r="AM539" s="116">
        <v>939</v>
      </c>
      <c r="AN539" s="42">
        <f>2550*3*816</f>
        <v>6242400</v>
      </c>
      <c r="AO539" s="125">
        <f t="shared" si="172"/>
        <v>2535300</v>
      </c>
      <c r="AP539" s="135">
        <v>600000</v>
      </c>
      <c r="AQ539" s="102">
        <v>46609340760600</v>
      </c>
      <c r="AR539" s="102">
        <v>91442196000</v>
      </c>
      <c r="AS539" s="102">
        <v>66568508000</v>
      </c>
      <c r="AT539" s="104">
        <v>194866173000</v>
      </c>
      <c r="AU539" s="55">
        <v>50675344</v>
      </c>
      <c r="AV539" s="99">
        <v>8270088328.6000004</v>
      </c>
      <c r="AX539" s="74">
        <f t="shared" ref="AX539:AX548" si="181">AT539/AQ539</f>
        <v>4.1808395016975884E-3</v>
      </c>
    </row>
    <row r="540" spans="1:50" ht="15">
      <c r="A540" s="28">
        <v>44466</v>
      </c>
      <c r="B540" s="56">
        <v>8047085000</v>
      </c>
      <c r="C540" s="56">
        <v>17235910000</v>
      </c>
      <c r="D540" s="56"/>
      <c r="E540" s="56"/>
      <c r="F540" s="65">
        <f t="shared" si="179"/>
        <v>25282995000</v>
      </c>
      <c r="G540" s="65">
        <f t="shared" si="152"/>
        <v>6826409</v>
      </c>
      <c r="H540" s="58">
        <f t="shared" si="180"/>
        <v>1898313000</v>
      </c>
      <c r="I540" s="57">
        <v>48968000000</v>
      </c>
      <c r="J540" s="57">
        <v>50866313000</v>
      </c>
      <c r="K540" s="57"/>
      <c r="L540" s="58">
        <f t="shared" si="170"/>
        <v>0</v>
      </c>
      <c r="M540" s="57"/>
      <c r="N540" s="57"/>
      <c r="O540" s="58">
        <f t="shared" si="155"/>
        <v>346045000</v>
      </c>
      <c r="P540" s="57"/>
      <c r="Q540" s="57">
        <v>346045000</v>
      </c>
      <c r="R540" s="58">
        <f t="shared" si="156"/>
        <v>580107000</v>
      </c>
      <c r="S540" s="57"/>
      <c r="T540" s="57">
        <v>580107000</v>
      </c>
      <c r="U540" s="58">
        <f t="shared" si="171"/>
        <v>530199000</v>
      </c>
      <c r="V540" s="57"/>
      <c r="W540" s="57">
        <v>530199000</v>
      </c>
      <c r="X540" s="121"/>
      <c r="Y540" s="121"/>
      <c r="Z540" s="121"/>
      <c r="AA540" s="121"/>
      <c r="AB540" s="121"/>
      <c r="AC540" s="121"/>
      <c r="AD540" s="121"/>
      <c r="AE540" s="121"/>
      <c r="AF540" s="121"/>
      <c r="AG540" s="121"/>
      <c r="AH540" s="121"/>
      <c r="AI540" s="121"/>
      <c r="AJ540" s="121">
        <f t="shared" si="168"/>
        <v>9176544</v>
      </c>
      <c r="AK540" s="59">
        <f>292000*0.3</f>
        <v>87600</v>
      </c>
      <c r="AL540" s="54">
        <v>44466</v>
      </c>
      <c r="AM540" s="60">
        <v>346</v>
      </c>
      <c r="AN540" s="34">
        <f>2550*802</f>
        <v>2045100</v>
      </c>
      <c r="AO540" s="125">
        <f t="shared" si="172"/>
        <v>934200</v>
      </c>
      <c r="AP540" s="59">
        <v>900000</v>
      </c>
      <c r="AQ540" s="100">
        <v>53937521660000</v>
      </c>
      <c r="AR540" s="100">
        <v>191850000000</v>
      </c>
      <c r="AS540" s="100">
        <v>101842242000</v>
      </c>
      <c r="AT540" s="103">
        <v>127125237000</v>
      </c>
      <c r="AU540" s="55">
        <v>19969853</v>
      </c>
      <c r="AV540" s="99">
        <v>8290058181.6000004</v>
      </c>
      <c r="AX540" s="74">
        <f t="shared" si="181"/>
        <v>2.3568980013828839E-3</v>
      </c>
    </row>
    <row r="541" spans="1:50" ht="15">
      <c r="A541" s="28">
        <v>44467</v>
      </c>
      <c r="B541" s="56">
        <v>25745270000</v>
      </c>
      <c r="C541" s="56"/>
      <c r="D541" s="56"/>
      <c r="E541" s="56"/>
      <c r="F541" s="65">
        <f t="shared" si="179"/>
        <v>25745270000</v>
      </c>
      <c r="G541" s="65">
        <f t="shared" si="152"/>
        <v>6951223</v>
      </c>
      <c r="H541" s="58">
        <f>J541-I541</f>
        <v>0</v>
      </c>
      <c r="I541" s="57"/>
      <c r="J541" s="57">
        <v>0</v>
      </c>
      <c r="K541" s="57"/>
      <c r="L541" s="58">
        <f t="shared" si="170"/>
        <v>60301000</v>
      </c>
      <c r="M541" s="57"/>
      <c r="N541" s="57">
        <v>60301000</v>
      </c>
      <c r="O541" s="58">
        <f t="shared" si="155"/>
        <v>193165000</v>
      </c>
      <c r="P541" s="57"/>
      <c r="Q541" s="57">
        <v>193165000</v>
      </c>
      <c r="R541" s="58">
        <f t="shared" si="156"/>
        <v>1613180000</v>
      </c>
      <c r="S541" s="57">
        <v>1800500000</v>
      </c>
      <c r="T541" s="57">
        <v>3413680000</v>
      </c>
      <c r="U541" s="58">
        <f t="shared" si="171"/>
        <v>198720000</v>
      </c>
      <c r="V541" s="57"/>
      <c r="W541" s="57">
        <v>198720000</v>
      </c>
      <c r="X541" s="121"/>
      <c r="Y541" s="121"/>
      <c r="Z541" s="121"/>
      <c r="AA541" s="121"/>
      <c r="AB541" s="121"/>
      <c r="AC541" s="121"/>
      <c r="AD541" s="121"/>
      <c r="AE541" s="121"/>
      <c r="AF541" s="121"/>
      <c r="AG541" s="121"/>
      <c r="AH541" s="121"/>
      <c r="AI541" s="121"/>
      <c r="AJ541" s="121">
        <f t="shared" si="168"/>
        <v>547150</v>
      </c>
      <c r="AK541" s="59">
        <f>194900*0.3</f>
        <v>58470</v>
      </c>
      <c r="AL541" s="54">
        <v>44467</v>
      </c>
      <c r="AM541" s="60">
        <v>248</v>
      </c>
      <c r="AN541" s="34">
        <f>2550*1008</f>
        <v>2570400</v>
      </c>
      <c r="AO541" s="125">
        <f t="shared" si="172"/>
        <v>669600</v>
      </c>
      <c r="AP541" s="59">
        <f>28298269-500000</f>
        <v>27798269</v>
      </c>
      <c r="AQ541" s="100">
        <v>47266080083400</v>
      </c>
      <c r="AR541" s="100">
        <v>119816230000</v>
      </c>
      <c r="AS541" s="100">
        <v>4788526000</v>
      </c>
      <c r="AT541" s="103">
        <v>30533796000</v>
      </c>
      <c r="AU541" s="55">
        <v>38595112</v>
      </c>
      <c r="AV541" s="99">
        <v>8328653293.6000004</v>
      </c>
      <c r="AX541" s="74">
        <f t="shared" si="181"/>
        <v>6.45998059202789E-4</v>
      </c>
    </row>
    <row r="542" spans="1:50" ht="15">
      <c r="A542" s="28">
        <v>44468</v>
      </c>
      <c r="B542" s="56">
        <v>33028845000</v>
      </c>
      <c r="C542" s="56">
        <v>9695545000</v>
      </c>
      <c r="D542" s="56"/>
      <c r="E542" s="56"/>
      <c r="F542" s="65">
        <f t="shared" si="179"/>
        <v>42724390000</v>
      </c>
      <c r="G542" s="65">
        <f t="shared" si="152"/>
        <v>11535585</v>
      </c>
      <c r="H542" s="58">
        <f>J542-I542</f>
        <v>6491238000</v>
      </c>
      <c r="I542" s="57">
        <v>4859000000</v>
      </c>
      <c r="J542" s="57">
        <v>11350238000</v>
      </c>
      <c r="K542" s="57"/>
      <c r="L542" s="58">
        <f>N542-M542</f>
        <v>22677451000</v>
      </c>
      <c r="M542" s="57">
        <v>25757000000</v>
      </c>
      <c r="N542" s="57">
        <v>48434451000</v>
      </c>
      <c r="O542" s="58">
        <f>Q542-P542</f>
        <v>1319412000</v>
      </c>
      <c r="P542" s="57"/>
      <c r="Q542" s="57">
        <v>1319412000</v>
      </c>
      <c r="R542" s="58">
        <f>T542-S542</f>
        <v>705231000</v>
      </c>
      <c r="S542" s="57"/>
      <c r="T542" s="57">
        <v>705231000</v>
      </c>
      <c r="U542" s="58">
        <f>W542-V542</f>
        <v>201173000</v>
      </c>
      <c r="V542" s="57"/>
      <c r="W542" s="57">
        <v>201173000</v>
      </c>
      <c r="X542" s="121"/>
      <c r="Y542" s="121"/>
      <c r="Z542" s="121"/>
      <c r="AA542" s="121"/>
      <c r="AB542" s="121"/>
      <c r="AC542" s="121"/>
      <c r="AD542" s="121"/>
      <c r="AE542" s="121"/>
      <c r="AF542" s="121"/>
      <c r="AG542" s="121"/>
      <c r="AH542" s="121"/>
      <c r="AI542" s="121"/>
      <c r="AJ542" s="121">
        <f t="shared" si="168"/>
        <v>8901487</v>
      </c>
      <c r="AK542" s="59">
        <f>1597000*0.3</f>
        <v>479100</v>
      </c>
      <c r="AL542" s="54">
        <v>44468</v>
      </c>
      <c r="AM542" s="60">
        <v>203</v>
      </c>
      <c r="AN542" s="34">
        <f>2550*1095</f>
        <v>2792250</v>
      </c>
      <c r="AO542" s="125">
        <f t="shared" si="172"/>
        <v>548100</v>
      </c>
      <c r="AP542" s="59">
        <v>600000</v>
      </c>
      <c r="AQ542" s="100">
        <v>43282021194000</v>
      </c>
      <c r="AR542" s="100">
        <v>177406000000</v>
      </c>
      <c r="AS542" s="100">
        <v>88322907000</v>
      </c>
      <c r="AT542" s="103">
        <v>131047297000</v>
      </c>
      <c r="AU542" s="55">
        <v>24856522</v>
      </c>
      <c r="AV542" s="99">
        <v>8353509815.6000004</v>
      </c>
      <c r="AX542" s="74">
        <f t="shared" si="181"/>
        <v>3.0277536349935185E-3</v>
      </c>
    </row>
    <row r="543" spans="1:50" ht="15">
      <c r="A543" s="28">
        <v>44469</v>
      </c>
      <c r="B543" s="118">
        <v>14781485000</v>
      </c>
      <c r="C543" s="118"/>
      <c r="D543" s="118"/>
      <c r="E543" s="118"/>
      <c r="F543" s="65">
        <f t="shared" si="179"/>
        <v>14781485000</v>
      </c>
      <c r="G543" s="65">
        <f t="shared" si="152"/>
        <v>3991001</v>
      </c>
      <c r="H543" s="58">
        <f>J543-I543</f>
        <v>63749000</v>
      </c>
      <c r="I543" s="121"/>
      <c r="J543" s="121">
        <v>63749000</v>
      </c>
      <c r="K543" s="121"/>
      <c r="L543" s="58">
        <f>N543-M543</f>
        <v>2761880000</v>
      </c>
      <c r="M543" s="121"/>
      <c r="N543" s="121">
        <v>2761880000</v>
      </c>
      <c r="O543" s="58">
        <f>Q543-P543</f>
        <v>1335866000</v>
      </c>
      <c r="P543" s="121"/>
      <c r="Q543" s="121">
        <v>1335866000</v>
      </c>
      <c r="R543" s="58">
        <f>T543-S543</f>
        <v>699871000</v>
      </c>
      <c r="S543" s="121"/>
      <c r="T543" s="121">
        <v>699871000</v>
      </c>
      <c r="U543" s="58">
        <f>W543-V543</f>
        <v>349391000</v>
      </c>
      <c r="V543" s="121"/>
      <c r="W543" s="121">
        <v>349391000</v>
      </c>
      <c r="X543" s="121"/>
      <c r="Y543" s="121"/>
      <c r="Z543" s="121"/>
      <c r="AA543" s="121"/>
      <c r="AB543" s="121"/>
      <c r="AC543" s="121"/>
      <c r="AD543" s="121"/>
      <c r="AE543" s="121"/>
      <c r="AF543" s="121"/>
      <c r="AG543" s="121"/>
      <c r="AH543" s="121"/>
      <c r="AI543" s="121"/>
      <c r="AJ543" s="121">
        <f t="shared" si="168"/>
        <v>562762</v>
      </c>
      <c r="AK543" s="124">
        <f>206100*0.3</f>
        <v>61830</v>
      </c>
      <c r="AL543" s="54">
        <v>44469</v>
      </c>
      <c r="AM543" s="125">
        <v>145</v>
      </c>
      <c r="AN543" s="54">
        <f>2550*1176</f>
        <v>2998800</v>
      </c>
      <c r="AO543" s="125">
        <f t="shared" si="172"/>
        <v>391500</v>
      </c>
      <c r="AP543" s="124">
        <v>1600000</v>
      </c>
      <c r="AQ543" s="101">
        <v>38078503666354</v>
      </c>
      <c r="AR543" s="100">
        <v>149428072000</v>
      </c>
      <c r="AS543" s="101">
        <v>5970131000</v>
      </c>
      <c r="AT543" s="105">
        <v>20751616000</v>
      </c>
      <c r="AU543" s="55">
        <v>9605893</v>
      </c>
      <c r="AV543" s="99">
        <v>8363115708.6000004</v>
      </c>
      <c r="AX543" s="74">
        <f t="shared" si="181"/>
        <v>5.4496931344327054E-4</v>
      </c>
    </row>
    <row r="544" spans="1:50" ht="15">
      <c r="A544" s="80">
        <v>44470</v>
      </c>
      <c r="B544" s="142">
        <v>36626855000</v>
      </c>
      <c r="C544" s="106"/>
      <c r="D544" s="143"/>
      <c r="E544" s="106"/>
      <c r="F544" s="106">
        <f t="shared" ref="F544:F548" si="182">SUM(B544:E544)</f>
        <v>36626855000</v>
      </c>
      <c r="G544" s="106">
        <f t="shared" si="152"/>
        <v>9889251</v>
      </c>
      <c r="H544" s="106">
        <f t="shared" ref="H544:H545" si="183">J544-I544</f>
        <v>6258918000</v>
      </c>
      <c r="I544" s="106"/>
      <c r="J544" s="106">
        <v>6258918000</v>
      </c>
      <c r="K544" s="106"/>
      <c r="L544" s="106">
        <f t="shared" ref="L544:L545" si="184">N544-M544</f>
        <v>0</v>
      </c>
      <c r="M544" s="106"/>
      <c r="N544" s="106"/>
      <c r="O544" s="106">
        <f t="shared" ref="O544:O545" si="185">Q544-P544</f>
        <v>321911000</v>
      </c>
      <c r="P544" s="106"/>
      <c r="Q544" s="106">
        <v>321911000</v>
      </c>
      <c r="R544" s="106">
        <f t="shared" ref="R544:R545" si="186">T544-S544</f>
        <v>560584000</v>
      </c>
      <c r="S544" s="106">
        <v>1823500000</v>
      </c>
      <c r="T544" s="106">
        <v>2384084000</v>
      </c>
      <c r="U544" s="106">
        <f t="shared" ref="U544:U545" si="187">W544-V544</f>
        <v>251991000</v>
      </c>
      <c r="V544" s="106"/>
      <c r="W544" s="106">
        <v>251991000</v>
      </c>
      <c r="X544" s="144"/>
      <c r="Y544" s="144"/>
      <c r="Z544" s="144"/>
      <c r="AA544" s="144"/>
      <c r="AB544" s="144"/>
      <c r="AC544" s="144"/>
      <c r="AD544" s="144"/>
      <c r="AE544" s="144"/>
      <c r="AF544" s="144"/>
      <c r="AG544" s="144"/>
      <c r="AH544" s="144"/>
      <c r="AI544" s="144"/>
      <c r="AJ544" s="145">
        <f t="shared" si="168"/>
        <v>1126718</v>
      </c>
      <c r="AK544" s="106">
        <f>604500*0.3</f>
        <v>181350</v>
      </c>
      <c r="AL544" s="146">
        <v>44470</v>
      </c>
      <c r="AM544" s="106">
        <v>396</v>
      </c>
      <c r="AN544" s="147">
        <f>2550*1230*3</f>
        <v>9409500</v>
      </c>
      <c r="AO544" s="145">
        <f t="shared" si="172"/>
        <v>1069200</v>
      </c>
      <c r="AP544" s="148"/>
      <c r="AQ544" s="106">
        <v>56312077171774</v>
      </c>
      <c r="AR544" s="106">
        <v>119943970000</v>
      </c>
      <c r="AS544" s="106">
        <v>9788843000</v>
      </c>
      <c r="AT544" s="107">
        <v>46415698000</v>
      </c>
      <c r="AU544" s="55">
        <v>21676019</v>
      </c>
      <c r="AV544" s="99">
        <v>8384791727.6000004</v>
      </c>
      <c r="AX544" s="74">
        <f t="shared" si="181"/>
        <v>8.242583177746019E-4</v>
      </c>
    </row>
    <row r="545" spans="1:50" ht="15">
      <c r="A545" s="28">
        <v>44473</v>
      </c>
      <c r="B545" s="56">
        <v>44828785000</v>
      </c>
      <c r="C545" s="56"/>
      <c r="D545" s="56"/>
      <c r="E545" s="56"/>
      <c r="F545" s="65">
        <f t="shared" si="182"/>
        <v>44828785000</v>
      </c>
      <c r="G545" s="65">
        <f t="shared" si="152"/>
        <v>12103772</v>
      </c>
      <c r="H545" s="58">
        <f t="shared" si="183"/>
        <v>3389988000</v>
      </c>
      <c r="I545" s="57"/>
      <c r="J545" s="57">
        <v>3389988000</v>
      </c>
      <c r="K545" s="57"/>
      <c r="L545" s="58">
        <f t="shared" si="184"/>
        <v>1278052000</v>
      </c>
      <c r="M545" s="57"/>
      <c r="N545" s="57">
        <v>1278052000</v>
      </c>
      <c r="O545" s="58">
        <f t="shared" si="185"/>
        <v>1944550000</v>
      </c>
      <c r="P545" s="57"/>
      <c r="Q545" s="57">
        <v>1944550000</v>
      </c>
      <c r="R545" s="58">
        <f t="shared" si="186"/>
        <v>628304000</v>
      </c>
      <c r="S545" s="57"/>
      <c r="T545" s="57">
        <v>628304000</v>
      </c>
      <c r="U545" s="58">
        <f t="shared" si="187"/>
        <v>400508000</v>
      </c>
      <c r="V545" s="57"/>
      <c r="W545" s="57">
        <v>400508000</v>
      </c>
      <c r="X545" s="121"/>
      <c r="Y545" s="121"/>
      <c r="Z545" s="121"/>
      <c r="AA545" s="121"/>
      <c r="AB545" s="121"/>
      <c r="AC545" s="121"/>
      <c r="AD545" s="121"/>
      <c r="AE545" s="121"/>
      <c r="AF545" s="121"/>
      <c r="AG545" s="121"/>
      <c r="AH545" s="121"/>
      <c r="AI545" s="121"/>
      <c r="AJ545" s="121">
        <f t="shared" si="168"/>
        <v>825271</v>
      </c>
      <c r="AK545" s="59">
        <f>743700*0.3</f>
        <v>223110</v>
      </c>
      <c r="AL545" s="54">
        <v>44473</v>
      </c>
      <c r="AM545" s="60">
        <v>389</v>
      </c>
      <c r="AN545" s="34">
        <f>2550*1127</f>
        <v>2873850</v>
      </c>
      <c r="AO545" s="125">
        <f t="shared" si="172"/>
        <v>1050300</v>
      </c>
      <c r="AP545" s="59"/>
      <c r="AQ545" s="100">
        <v>57242225882198</v>
      </c>
      <c r="AR545" s="100">
        <v>66412000000</v>
      </c>
      <c r="AS545" s="100">
        <v>8884871000</v>
      </c>
      <c r="AT545" s="103">
        <v>53713656000</v>
      </c>
      <c r="AU545" s="55">
        <v>17076303</v>
      </c>
      <c r="AV545" s="99">
        <v>8401868030.6000004</v>
      </c>
      <c r="AX545" s="74">
        <f t="shared" si="181"/>
        <v>9.3835722095329344E-4</v>
      </c>
    </row>
    <row r="546" spans="1:50" ht="15">
      <c r="A546" s="28">
        <v>44474</v>
      </c>
      <c r="B546" s="56">
        <v>19584770000</v>
      </c>
      <c r="C546" s="56"/>
      <c r="D546" s="56"/>
      <c r="E546" s="56"/>
      <c r="F546" s="65">
        <f t="shared" si="182"/>
        <v>19584770000</v>
      </c>
      <c r="G546" s="65">
        <f t="shared" si="152"/>
        <v>5287888</v>
      </c>
      <c r="H546" s="58">
        <f>J546-I546</f>
        <v>21947100000</v>
      </c>
      <c r="I546" s="57"/>
      <c r="J546" s="57">
        <v>21947100000</v>
      </c>
      <c r="K546" s="57"/>
      <c r="L546" s="58">
        <f>N546-M546</f>
        <v>1011533000</v>
      </c>
      <c r="M546" s="57"/>
      <c r="N546" s="57">
        <v>1011533000</v>
      </c>
      <c r="O546" s="58">
        <f>Q546-P546</f>
        <v>1004741000</v>
      </c>
      <c r="P546" s="57"/>
      <c r="Q546" s="57">
        <v>1004741000</v>
      </c>
      <c r="R546" s="58">
        <f>T546-S546</f>
        <v>609027000</v>
      </c>
      <c r="S546" s="57"/>
      <c r="T546" s="57">
        <v>609027000</v>
      </c>
      <c r="U546" s="58">
        <f>W546-V546</f>
        <v>141750000</v>
      </c>
      <c r="V546" s="57"/>
      <c r="W546" s="57">
        <v>141750000</v>
      </c>
      <c r="X546" s="121"/>
      <c r="Y546" s="121"/>
      <c r="Z546" s="121"/>
      <c r="AA546" s="121"/>
      <c r="AB546" s="121"/>
      <c r="AC546" s="121"/>
      <c r="AD546" s="121"/>
      <c r="AE546" s="121"/>
      <c r="AF546" s="121"/>
      <c r="AG546" s="121"/>
      <c r="AH546" s="121"/>
      <c r="AI546" s="121"/>
      <c r="AJ546" s="121">
        <f t="shared" si="168"/>
        <v>2669128</v>
      </c>
      <c r="AK546" s="59">
        <f>1265700*0.3</f>
        <v>379710</v>
      </c>
      <c r="AL546" s="54">
        <v>44474</v>
      </c>
      <c r="AM546" s="60">
        <v>328</v>
      </c>
      <c r="AN546" s="34">
        <f>2550*847</f>
        <v>2159850</v>
      </c>
      <c r="AO546" s="125">
        <f t="shared" si="172"/>
        <v>885600</v>
      </c>
      <c r="AP546" s="59"/>
      <c r="AQ546" s="100">
        <v>49104572749846</v>
      </c>
      <c r="AR546" s="100">
        <v>116790244000</v>
      </c>
      <c r="AS546" s="100">
        <v>25280550000</v>
      </c>
      <c r="AT546" s="103">
        <v>44865320000</v>
      </c>
      <c r="AU546" s="55">
        <v>11382176</v>
      </c>
      <c r="AV546" s="99">
        <v>8413250206.6000004</v>
      </c>
      <c r="AX546" s="74">
        <f t="shared" si="181"/>
        <v>9.136688802600508E-4</v>
      </c>
    </row>
    <row r="547" spans="1:50" ht="15">
      <c r="A547" s="28">
        <v>44475</v>
      </c>
      <c r="B547" s="56">
        <v>26873115000</v>
      </c>
      <c r="C547" s="56"/>
      <c r="D547" s="56"/>
      <c r="E547" s="56"/>
      <c r="F547" s="65">
        <f t="shared" si="182"/>
        <v>26873115000</v>
      </c>
      <c r="G547" s="65">
        <f t="shared" si="152"/>
        <v>7255741</v>
      </c>
      <c r="H547" s="58">
        <f>J547-I547</f>
        <v>4111266000</v>
      </c>
      <c r="I547" s="57"/>
      <c r="J547" s="57">
        <v>4111266000</v>
      </c>
      <c r="K547" s="57"/>
      <c r="L547" s="58">
        <f>N547-M547</f>
        <v>777600000</v>
      </c>
      <c r="M547" s="57"/>
      <c r="N547" s="57">
        <v>777600000</v>
      </c>
      <c r="O547" s="58">
        <f>Q547-P547</f>
        <v>196008000</v>
      </c>
      <c r="P547" s="57"/>
      <c r="Q547" s="57">
        <v>196008000</v>
      </c>
      <c r="R547" s="58">
        <f>T547-S547</f>
        <v>574932000</v>
      </c>
      <c r="S547" s="57"/>
      <c r="T547" s="57">
        <v>574932000</v>
      </c>
      <c r="U547" s="58">
        <f>W547-V547</f>
        <v>215160000</v>
      </c>
      <c r="V547" s="57"/>
      <c r="W547" s="57">
        <v>215160000</v>
      </c>
      <c r="X547" s="121"/>
      <c r="Y547" s="121"/>
      <c r="Z547" s="121"/>
      <c r="AA547" s="121"/>
      <c r="AB547" s="121"/>
      <c r="AC547" s="121"/>
      <c r="AD547" s="121"/>
      <c r="AE547" s="121"/>
      <c r="AF547" s="121"/>
      <c r="AG547" s="121"/>
      <c r="AH547" s="121"/>
      <c r="AI547" s="121"/>
      <c r="AJ547" s="121">
        <f t="shared" si="168"/>
        <v>634496</v>
      </c>
      <c r="AK547" s="59">
        <f>611400*0.3</f>
        <v>183420</v>
      </c>
      <c r="AL547" s="54">
        <v>44475</v>
      </c>
      <c r="AM547" s="60">
        <v>196</v>
      </c>
      <c r="AN547" s="34">
        <f>2550*663</f>
        <v>1690650</v>
      </c>
      <c r="AO547" s="125">
        <f t="shared" si="172"/>
        <v>529200</v>
      </c>
      <c r="AP547" s="59"/>
      <c r="AQ547" s="100">
        <v>47117861604800</v>
      </c>
      <c r="AR547" s="100">
        <v>71392850000</v>
      </c>
      <c r="AS547" s="100">
        <v>6426207000</v>
      </c>
      <c r="AT547" s="103">
        <v>33299322000</v>
      </c>
      <c r="AU547" s="55">
        <v>10293507</v>
      </c>
      <c r="AV547" s="99">
        <v>8423543713.6000004</v>
      </c>
      <c r="AX547" s="74">
        <f t="shared" si="181"/>
        <v>7.0672396551645978E-4</v>
      </c>
    </row>
    <row r="548" spans="1:50" ht="15">
      <c r="A548" s="28">
        <v>44476</v>
      </c>
      <c r="B548" s="118">
        <v>30953495000</v>
      </c>
      <c r="C548" s="118"/>
      <c r="D548" s="118"/>
      <c r="E548" s="118"/>
      <c r="F548" s="65">
        <f t="shared" si="182"/>
        <v>30953495000</v>
      </c>
      <c r="G548" s="65">
        <f t="shared" si="152"/>
        <v>8357444</v>
      </c>
      <c r="H548" s="58">
        <f>J548-I548</f>
        <v>749450000</v>
      </c>
      <c r="I548" s="121">
        <v>19724000000</v>
      </c>
      <c r="J548" s="121">
        <v>20473450000</v>
      </c>
      <c r="K548" s="121"/>
      <c r="L548" s="58">
        <f>N548-M548</f>
        <v>3513657000</v>
      </c>
      <c r="M548" s="121"/>
      <c r="N548" s="121">
        <v>3513657000</v>
      </c>
      <c r="O548" s="58">
        <f>Q548-P548</f>
        <v>894378000</v>
      </c>
      <c r="P548" s="121"/>
      <c r="Q548" s="121">
        <v>894378000</v>
      </c>
      <c r="R548" s="58">
        <f>T548-S548</f>
        <v>562019000</v>
      </c>
      <c r="S548" s="121"/>
      <c r="T548" s="121">
        <v>562019000</v>
      </c>
      <c r="U548" s="58">
        <f>W548-V548</f>
        <v>90775000</v>
      </c>
      <c r="V548" s="121"/>
      <c r="W548" s="121">
        <v>90775000</v>
      </c>
      <c r="X548" s="121"/>
      <c r="Y548" s="121"/>
      <c r="Z548" s="121"/>
      <c r="AA548" s="121"/>
      <c r="AB548" s="121"/>
      <c r="AC548" s="121"/>
      <c r="AD548" s="121"/>
      <c r="AE548" s="121"/>
      <c r="AF548" s="121"/>
      <c r="AG548" s="121"/>
      <c r="AH548" s="121"/>
      <c r="AI548" s="121"/>
      <c r="AJ548" s="121">
        <f t="shared" ref="AJ548:AJ568" si="188">ROUND(H548*0.0108%+I548*0.018%+K548*0.018%+L548*0.0108%+M548*0.018%+O548*0.0108%+P548*0.018%+R548*0.0108%+S548*0.018%+V548*0.018%+U548*0.0108%,0)</f>
        <v>4177830</v>
      </c>
      <c r="AK548" s="124">
        <f>405300*0.3</f>
        <v>121590</v>
      </c>
      <c r="AL548" s="54">
        <v>44476</v>
      </c>
      <c r="AM548" s="125">
        <v>310</v>
      </c>
      <c r="AN548" s="54">
        <f>2550*749</f>
        <v>1909950</v>
      </c>
      <c r="AO548" s="125">
        <f t="shared" si="172"/>
        <v>837000</v>
      </c>
      <c r="AP548" s="124"/>
      <c r="AQ548" s="101">
        <v>48687751157150</v>
      </c>
      <c r="AR548" s="100">
        <v>130454092000</v>
      </c>
      <c r="AS548" s="101">
        <v>45822019000</v>
      </c>
      <c r="AT548" s="105">
        <v>76775514000</v>
      </c>
      <c r="AU548" s="55">
        <v>15403814</v>
      </c>
      <c r="AV548" s="99">
        <v>8438947527.6000004</v>
      </c>
      <c r="AX548" s="74">
        <f t="shared" si="181"/>
        <v>1.5768958757653607E-3</v>
      </c>
    </row>
    <row r="549" spans="1:50" ht="15">
      <c r="A549" s="28">
        <v>44477</v>
      </c>
      <c r="B549" s="56">
        <v>25687415000</v>
      </c>
      <c r="C549" s="65"/>
      <c r="D549" s="141"/>
      <c r="E549" s="65"/>
      <c r="F549" s="65">
        <f t="shared" ref="F549:F553" si="189">SUM(B549:E549)</f>
        <v>25687415000</v>
      </c>
      <c r="G549" s="65">
        <f t="shared" si="152"/>
        <v>6935602</v>
      </c>
      <c r="H549" s="58">
        <f t="shared" ref="H549:H550" si="190">J549-I549</f>
        <v>12228500000</v>
      </c>
      <c r="I549" s="58"/>
      <c r="J549" s="58">
        <v>12228500000</v>
      </c>
      <c r="K549" s="58"/>
      <c r="L549" s="58">
        <f t="shared" ref="L549:L550" si="191">N549-M549</f>
        <v>5255000</v>
      </c>
      <c r="M549" s="58"/>
      <c r="N549" s="58">
        <v>5255000</v>
      </c>
      <c r="O549" s="58">
        <f t="shared" ref="O549:O550" si="192">Q549-P549</f>
        <v>603425000</v>
      </c>
      <c r="P549" s="58"/>
      <c r="Q549" s="58">
        <v>603425000</v>
      </c>
      <c r="R549" s="58">
        <f t="shared" ref="R549:R550" si="193">T549-S549</f>
        <v>892454000</v>
      </c>
      <c r="S549" s="58"/>
      <c r="T549" s="58">
        <v>892454000</v>
      </c>
      <c r="U549" s="58">
        <f t="shared" ref="U549:U550" si="194">W549-V549</f>
        <v>45571000</v>
      </c>
      <c r="V549" s="58"/>
      <c r="W549" s="58">
        <v>45571000</v>
      </c>
      <c r="X549" s="122"/>
      <c r="Y549" s="122"/>
      <c r="Z549" s="122"/>
      <c r="AA549" s="122"/>
      <c r="AB549" s="122"/>
      <c r="AC549" s="122"/>
      <c r="AD549" s="122"/>
      <c r="AE549" s="122"/>
      <c r="AF549" s="122"/>
      <c r="AG549" s="122"/>
      <c r="AH549" s="122"/>
      <c r="AI549" s="122"/>
      <c r="AJ549" s="121">
        <f t="shared" si="188"/>
        <v>1487722</v>
      </c>
      <c r="AK549" s="66">
        <f>436200*0.3</f>
        <v>130860</v>
      </c>
      <c r="AL549" s="54">
        <v>44477</v>
      </c>
      <c r="AM549" s="116">
        <v>268</v>
      </c>
      <c r="AN549" s="42">
        <f>2550*885*3</f>
        <v>6770250</v>
      </c>
      <c r="AO549" s="125">
        <f t="shared" si="172"/>
        <v>723600</v>
      </c>
      <c r="AP549" s="135"/>
      <c r="AQ549" s="102">
        <v>43844219099694</v>
      </c>
      <c r="AR549" s="102">
        <v>121172598000</v>
      </c>
      <c r="AS549" s="102">
        <v>14567786000</v>
      </c>
      <c r="AT549" s="104">
        <v>40935901000</v>
      </c>
      <c r="AU549" s="55">
        <v>16048034</v>
      </c>
      <c r="AV549" s="99">
        <v>8454995561.6000004</v>
      </c>
      <c r="AX549" s="74">
        <f t="shared" ref="AX549:AX553" si="195">AT549/AQ549</f>
        <v>9.336670110811873E-4</v>
      </c>
    </row>
    <row r="550" spans="1:50" ht="15">
      <c r="A550" s="28">
        <v>44480</v>
      </c>
      <c r="B550" s="56">
        <v>58166910000</v>
      </c>
      <c r="C550" s="56"/>
      <c r="D550" s="56">
        <v>6921465000</v>
      </c>
      <c r="E550" s="56"/>
      <c r="F550" s="65">
        <f t="shared" si="189"/>
        <v>65088375000</v>
      </c>
      <c r="G550" s="65">
        <f t="shared" si="152"/>
        <v>17573861</v>
      </c>
      <c r="H550" s="58">
        <f t="shared" si="190"/>
        <v>7685268000</v>
      </c>
      <c r="I550" s="57">
        <v>15150600000</v>
      </c>
      <c r="J550" s="57">
        <v>22835868000</v>
      </c>
      <c r="K550" s="57"/>
      <c r="L550" s="58">
        <f t="shared" si="191"/>
        <v>11998593000</v>
      </c>
      <c r="M550" s="57"/>
      <c r="N550" s="57">
        <v>11998593000</v>
      </c>
      <c r="O550" s="58">
        <f t="shared" si="192"/>
        <v>833245000</v>
      </c>
      <c r="P550" s="57"/>
      <c r="Q550" s="57">
        <v>833245000</v>
      </c>
      <c r="R550" s="58">
        <f t="shared" si="193"/>
        <v>710712000</v>
      </c>
      <c r="S550" s="57"/>
      <c r="T550" s="57">
        <v>710712000</v>
      </c>
      <c r="U550" s="58">
        <f t="shared" si="194"/>
        <v>621400000</v>
      </c>
      <c r="V550" s="57"/>
      <c r="W550" s="57">
        <v>621400000</v>
      </c>
      <c r="X550" s="121"/>
      <c r="Y550" s="121"/>
      <c r="Z550" s="121"/>
      <c r="AA550" s="121"/>
      <c r="AB550" s="121"/>
      <c r="AC550" s="121"/>
      <c r="AD550" s="121"/>
      <c r="AE550" s="121"/>
      <c r="AF550" s="121"/>
      <c r="AG550" s="121"/>
      <c r="AH550" s="121"/>
      <c r="AI550" s="121"/>
      <c r="AJ550" s="121">
        <f t="shared" si="188"/>
        <v>5086824</v>
      </c>
      <c r="AK550" s="59">
        <f>38490+6581</f>
        <v>45071</v>
      </c>
      <c r="AL550" s="54">
        <v>44480</v>
      </c>
      <c r="AM550" s="60">
        <v>648</v>
      </c>
      <c r="AN550" s="34">
        <f>2550*1531</f>
        <v>3904050</v>
      </c>
      <c r="AO550" s="125">
        <f t="shared" si="172"/>
        <v>1749600</v>
      </c>
      <c r="AP550" s="59"/>
      <c r="AQ550" s="100">
        <v>58569724712330</v>
      </c>
      <c r="AR550" s="100">
        <v>154343204000</v>
      </c>
      <c r="AS550" s="100">
        <v>37563618000</v>
      </c>
      <c r="AT550" s="103">
        <v>102651993000</v>
      </c>
      <c r="AU550" s="55">
        <v>28359406</v>
      </c>
      <c r="AV550" s="99">
        <v>8483354967.6000004</v>
      </c>
      <c r="AX550" s="74">
        <f t="shared" si="195"/>
        <v>1.7526459873967936E-3</v>
      </c>
    </row>
    <row r="551" spans="1:50" ht="15">
      <c r="A551" s="28">
        <v>44481</v>
      </c>
      <c r="B551" s="56">
        <v>27786740000</v>
      </c>
      <c r="C551" s="56"/>
      <c r="D551" s="56">
        <v>910560000</v>
      </c>
      <c r="E551" s="56"/>
      <c r="F551" s="65">
        <f t="shared" si="189"/>
        <v>28697300000</v>
      </c>
      <c r="G551" s="65">
        <f t="shared" si="152"/>
        <v>7748271</v>
      </c>
      <c r="H551" s="58">
        <f>J551-I551</f>
        <v>5620226000</v>
      </c>
      <c r="I551" s="57"/>
      <c r="J551" s="57">
        <v>5620226000</v>
      </c>
      <c r="K551" s="57"/>
      <c r="L551" s="58">
        <f>N551-M551</f>
        <v>932315000</v>
      </c>
      <c r="M551" s="57"/>
      <c r="N551" s="57">
        <v>932315000</v>
      </c>
      <c r="O551" s="58">
        <f>Q551-P551</f>
        <v>661359000</v>
      </c>
      <c r="P551" s="57"/>
      <c r="Q551" s="57">
        <v>661359000</v>
      </c>
      <c r="R551" s="58">
        <f>T551-S551</f>
        <v>689376000</v>
      </c>
      <c r="S551" s="57"/>
      <c r="T551" s="57">
        <v>689376000</v>
      </c>
      <c r="U551" s="58">
        <f>W551-V551</f>
        <v>362653000</v>
      </c>
      <c r="V551" s="57"/>
      <c r="W551" s="57">
        <v>362653000</v>
      </c>
      <c r="X551" s="121"/>
      <c r="Y551" s="121"/>
      <c r="Z551" s="121"/>
      <c r="AA551" s="121"/>
      <c r="AB551" s="121"/>
      <c r="AC551" s="121"/>
      <c r="AD551" s="121"/>
      <c r="AE551" s="121"/>
      <c r="AF551" s="121"/>
      <c r="AG551" s="121"/>
      <c r="AH551" s="121"/>
      <c r="AI551" s="121"/>
      <c r="AJ551" s="121">
        <f t="shared" si="188"/>
        <v>892720</v>
      </c>
      <c r="AK551" s="59">
        <f>626100*0.3</f>
        <v>187830</v>
      </c>
      <c r="AL551" s="54">
        <v>44481</v>
      </c>
      <c r="AM551" s="60">
        <v>250</v>
      </c>
      <c r="AN551" s="34">
        <f>2550*1441</f>
        <v>3674550</v>
      </c>
      <c r="AO551" s="125">
        <f t="shared" si="172"/>
        <v>675000</v>
      </c>
      <c r="AP551" s="59"/>
      <c r="AQ551" s="100">
        <v>54282684404956</v>
      </c>
      <c r="AR551" s="100">
        <v>178650000000</v>
      </c>
      <c r="AS551" s="100">
        <v>8856455000</v>
      </c>
      <c r="AT551" s="103">
        <v>37553755000</v>
      </c>
      <c r="AU551" s="55">
        <v>13178371</v>
      </c>
      <c r="AV551" s="99">
        <v>8496533338.6000004</v>
      </c>
      <c r="AX551" s="74">
        <f t="shared" si="195"/>
        <v>6.9181831023396013E-4</v>
      </c>
    </row>
    <row r="552" spans="1:50" ht="15">
      <c r="A552" s="28">
        <v>44482</v>
      </c>
      <c r="B552" s="56">
        <v>50558490000</v>
      </c>
      <c r="C552" s="56">
        <v>13763910000</v>
      </c>
      <c r="D552" s="56"/>
      <c r="E552" s="56"/>
      <c r="F552" s="65">
        <f t="shared" si="189"/>
        <v>64322400000</v>
      </c>
      <c r="G552" s="65">
        <f t="shared" si="152"/>
        <v>17367048</v>
      </c>
      <c r="H552" s="58">
        <f>J552-I552</f>
        <v>5546823000</v>
      </c>
      <c r="I552" s="57"/>
      <c r="J552" s="57">
        <v>5546823000</v>
      </c>
      <c r="K552" s="57"/>
      <c r="L552" s="58">
        <f>N552-M552</f>
        <v>13198013000</v>
      </c>
      <c r="M552" s="57"/>
      <c r="N552" s="57">
        <v>13198013000</v>
      </c>
      <c r="O552" s="58">
        <f>Q552-P552</f>
        <v>1193419000</v>
      </c>
      <c r="P552" s="57"/>
      <c r="Q552" s="57">
        <v>1193419000</v>
      </c>
      <c r="R552" s="58">
        <f>T552-S552</f>
        <v>602565000</v>
      </c>
      <c r="S552" s="57"/>
      <c r="T552" s="57">
        <v>602565000</v>
      </c>
      <c r="U552" s="58">
        <f>W552-V552</f>
        <v>1031395000</v>
      </c>
      <c r="V552" s="57"/>
      <c r="W552" s="57">
        <v>1031395000</v>
      </c>
      <c r="X552" s="121"/>
      <c r="Y552" s="121"/>
      <c r="Z552" s="121"/>
      <c r="AA552" s="121"/>
      <c r="AB552" s="121"/>
      <c r="AC552" s="121"/>
      <c r="AD552" s="121"/>
      <c r="AE552" s="121"/>
      <c r="AF552" s="121"/>
      <c r="AG552" s="121"/>
      <c r="AH552" s="121"/>
      <c r="AI552" s="121"/>
      <c r="AJ552" s="121">
        <f t="shared" si="188"/>
        <v>2329799</v>
      </c>
      <c r="AK552" s="59">
        <f>542200*0.3</f>
        <v>162660</v>
      </c>
      <c r="AL552" s="54">
        <v>44482</v>
      </c>
      <c r="AM552" s="60">
        <v>410</v>
      </c>
      <c r="AN552" s="34">
        <v>3985650</v>
      </c>
      <c r="AO552" s="125">
        <f t="shared" si="172"/>
        <v>1107000</v>
      </c>
      <c r="AP552" s="59"/>
      <c r="AQ552" s="100">
        <v>46221750169548</v>
      </c>
      <c r="AR552" s="100">
        <v>122635198000</v>
      </c>
      <c r="AS552" s="100">
        <v>24794565000</v>
      </c>
      <c r="AT552" s="103">
        <v>89116965000</v>
      </c>
      <c r="AU552" s="55">
        <v>24952157</v>
      </c>
      <c r="AV552" s="99">
        <v>8521485495.6000004</v>
      </c>
      <c r="AX552" s="74">
        <f t="shared" si="195"/>
        <v>1.9280309523786142E-3</v>
      </c>
    </row>
    <row r="553" spans="1:50" ht="15">
      <c r="A553" s="28">
        <v>44483</v>
      </c>
      <c r="B553" s="118">
        <v>175982050000</v>
      </c>
      <c r="C553" s="118"/>
      <c r="D553" s="118"/>
      <c r="E553" s="118"/>
      <c r="F553" s="65">
        <f t="shared" si="189"/>
        <v>175982050000</v>
      </c>
      <c r="G553" s="65">
        <f t="shared" si="152"/>
        <v>47515154</v>
      </c>
      <c r="H553" s="58">
        <f>J553-I553</f>
        <v>15288811000</v>
      </c>
      <c r="I553" s="121">
        <v>131596400000</v>
      </c>
      <c r="J553" s="121">
        <v>146885211000</v>
      </c>
      <c r="K553" s="121"/>
      <c r="L553" s="58">
        <f>N553-M553</f>
        <v>815096000</v>
      </c>
      <c r="M553" s="121"/>
      <c r="N553" s="121">
        <v>815096000</v>
      </c>
      <c r="O553" s="58">
        <f>Q553-P553</f>
        <v>142144000</v>
      </c>
      <c r="P553" s="121"/>
      <c r="Q553" s="121">
        <v>142144000</v>
      </c>
      <c r="R553" s="58">
        <f>T553-S553</f>
        <v>580342000</v>
      </c>
      <c r="S553" s="121"/>
      <c r="T553" s="121">
        <v>580342000</v>
      </c>
      <c r="U553" s="58">
        <f>W553-V553</f>
        <v>821686000</v>
      </c>
      <c r="V553" s="121"/>
      <c r="W553" s="121">
        <v>821686000</v>
      </c>
      <c r="X553" s="121"/>
      <c r="Y553" s="121"/>
      <c r="Z553" s="121"/>
      <c r="AA553" s="121"/>
      <c r="AB553" s="121"/>
      <c r="AC553" s="121"/>
      <c r="AD553" s="121"/>
      <c r="AE553" s="121"/>
      <c r="AF553" s="121"/>
      <c r="AG553" s="121"/>
      <c r="AH553" s="121"/>
      <c r="AI553" s="121"/>
      <c r="AJ553" s="121">
        <f t="shared" si="188"/>
        <v>25593345</v>
      </c>
      <c r="AK553" s="124">
        <f>(445500*0.3)+300000</f>
        <v>433650</v>
      </c>
      <c r="AL553" s="54">
        <v>44483</v>
      </c>
      <c r="AM553" s="125">
        <v>569</v>
      </c>
      <c r="AN553" s="54">
        <f>1458*2550</f>
        <v>3717900</v>
      </c>
      <c r="AO553" s="125">
        <f t="shared" si="172"/>
        <v>1536300</v>
      </c>
      <c r="AP553" s="124"/>
      <c r="AQ553" s="101">
        <v>53802202960820</v>
      </c>
      <c r="AR553" s="100">
        <v>353404802000</v>
      </c>
      <c r="AS553" s="101">
        <v>281499192000</v>
      </c>
      <c r="AT553" s="105">
        <v>457481242000</v>
      </c>
      <c r="AU553" s="55">
        <v>78796349</v>
      </c>
      <c r="AV553" s="99">
        <v>8600281844.6000004</v>
      </c>
      <c r="AX553" s="74">
        <f t="shared" si="195"/>
        <v>8.5030206352916127E-3</v>
      </c>
    </row>
    <row r="554" spans="1:50" ht="15">
      <c r="A554" s="28">
        <v>44484</v>
      </c>
      <c r="B554" s="56">
        <v>39746485000</v>
      </c>
      <c r="C554" s="65"/>
      <c r="D554" s="141"/>
      <c r="E554" s="65"/>
      <c r="F554" s="65">
        <f t="shared" ref="F554:F558" si="196">SUM(B554:E554)</f>
        <v>39746485000</v>
      </c>
      <c r="G554" s="65">
        <f t="shared" si="152"/>
        <v>10731551</v>
      </c>
      <c r="H554" s="58">
        <f t="shared" ref="H554:H555" si="197">J554-I554</f>
        <v>2527000000</v>
      </c>
      <c r="I554" s="58">
        <v>40493900000</v>
      </c>
      <c r="J554" s="58">
        <v>43020900000</v>
      </c>
      <c r="K554" s="58"/>
      <c r="L554" s="58">
        <f t="shared" ref="L554:L555" si="198">N554-M554</f>
        <v>3559410000</v>
      </c>
      <c r="M554" s="58"/>
      <c r="N554" s="58">
        <v>3559410000</v>
      </c>
      <c r="O554" s="58">
        <f t="shared" ref="O554:O555" si="199">Q554-P554</f>
        <v>283182000</v>
      </c>
      <c r="P554" s="58"/>
      <c r="Q554" s="58">
        <v>283182000</v>
      </c>
      <c r="R554" s="58">
        <f t="shared" ref="R554:R555" si="200">T554-S554</f>
        <v>623689000</v>
      </c>
      <c r="S554" s="58"/>
      <c r="T554" s="58">
        <v>623689000</v>
      </c>
      <c r="U554" s="58">
        <f t="shared" ref="U554:U555" si="201">W554-V554</f>
        <v>554740000</v>
      </c>
      <c r="V554" s="58">
        <v>2873034000</v>
      </c>
      <c r="W554" s="58">
        <v>3427774000</v>
      </c>
      <c r="X554" s="122"/>
      <c r="Y554" s="122"/>
      <c r="Z554" s="122"/>
      <c r="AA554" s="122"/>
      <c r="AB554" s="122"/>
      <c r="AC554" s="122"/>
      <c r="AD554" s="122"/>
      <c r="AE554" s="122"/>
      <c r="AF554" s="122"/>
      <c r="AG554" s="122"/>
      <c r="AH554" s="122"/>
      <c r="AI554" s="122"/>
      <c r="AJ554" s="121">
        <f t="shared" si="188"/>
        <v>8621234</v>
      </c>
      <c r="AK554" s="66">
        <f>(344000*0.3)+300000</f>
        <v>403200</v>
      </c>
      <c r="AL554" s="54">
        <v>44484</v>
      </c>
      <c r="AM554" s="116">
        <v>319</v>
      </c>
      <c r="AN554" s="42">
        <f>2550*3*1487</f>
        <v>11375550</v>
      </c>
      <c r="AO554" s="125">
        <f t="shared" si="172"/>
        <v>861300</v>
      </c>
      <c r="AP554" s="135"/>
      <c r="AQ554" s="102">
        <v>55430833971564</v>
      </c>
      <c r="AR554" s="102">
        <v>137851868000</v>
      </c>
      <c r="AS554" s="102">
        <v>94898985000</v>
      </c>
      <c r="AT554" s="104">
        <v>134645470000</v>
      </c>
      <c r="AU554" s="55">
        <v>31992835</v>
      </c>
      <c r="AV554" s="99">
        <v>8632274679.6000004</v>
      </c>
      <c r="AX554" s="74">
        <f t="shared" ref="AX554:AX568" si="202">AT554/AQ554</f>
        <v>2.4290716980565922E-3</v>
      </c>
    </row>
    <row r="555" spans="1:50" ht="15">
      <c r="A555" s="28">
        <v>44487</v>
      </c>
      <c r="B555" s="56">
        <v>21691375000</v>
      </c>
      <c r="C555" s="56">
        <v>32949410000</v>
      </c>
      <c r="D555" s="56"/>
      <c r="E555" s="56"/>
      <c r="F555" s="65">
        <f t="shared" si="196"/>
        <v>54640785000</v>
      </c>
      <c r="G555" s="65">
        <f t="shared" ref="G555:G558" si="203">ROUND(F555*0.027%,0)</f>
        <v>14753012</v>
      </c>
      <c r="H555" s="58">
        <f t="shared" si="197"/>
        <v>99021000</v>
      </c>
      <c r="I555" s="57"/>
      <c r="J555" s="57">
        <v>99021000</v>
      </c>
      <c r="K555" s="57"/>
      <c r="L555" s="58">
        <f t="shared" si="198"/>
        <v>1633391000</v>
      </c>
      <c r="M555" s="57"/>
      <c r="N555" s="57">
        <v>1633391000</v>
      </c>
      <c r="O555" s="58">
        <f t="shared" si="199"/>
        <v>619315000</v>
      </c>
      <c r="P555" s="57"/>
      <c r="Q555" s="57">
        <v>619315000</v>
      </c>
      <c r="R555" s="58">
        <f t="shared" si="200"/>
        <v>824703000</v>
      </c>
      <c r="S555" s="57"/>
      <c r="T555" s="57">
        <v>824703000</v>
      </c>
      <c r="U555" s="58">
        <f t="shared" si="201"/>
        <v>188024000</v>
      </c>
      <c r="V555" s="57"/>
      <c r="W555" s="57">
        <v>188024000</v>
      </c>
      <c r="X555" s="121"/>
      <c r="Y555" s="121"/>
      <c r="Z555" s="121"/>
      <c r="AA555" s="121"/>
      <c r="AB555" s="121"/>
      <c r="AC555" s="121"/>
      <c r="AD555" s="121"/>
      <c r="AE555" s="121"/>
      <c r="AF555" s="121"/>
      <c r="AG555" s="121"/>
      <c r="AH555" s="121"/>
      <c r="AI555" s="121"/>
      <c r="AJ555" s="121">
        <f t="shared" si="188"/>
        <v>363361</v>
      </c>
      <c r="AK555" s="59">
        <f>162700*0.3</f>
        <v>48810</v>
      </c>
      <c r="AL555" s="54">
        <v>44487</v>
      </c>
      <c r="AM555" s="60">
        <v>2242</v>
      </c>
      <c r="AN555" s="34">
        <f>2550*1779</f>
        <v>4536450</v>
      </c>
      <c r="AO555" s="125">
        <f t="shared" si="172"/>
        <v>6053400</v>
      </c>
      <c r="AP555" s="59"/>
      <c r="AQ555" s="100">
        <v>57773821219600</v>
      </c>
      <c r="AR555" s="100">
        <v>70923888000</v>
      </c>
      <c r="AS555" s="100">
        <v>4077606000</v>
      </c>
      <c r="AT555" s="103">
        <v>58718391000</v>
      </c>
      <c r="AU555" s="55">
        <v>25755033</v>
      </c>
      <c r="AV555" s="99">
        <v>8658029712.6000004</v>
      </c>
      <c r="AX555" s="74">
        <f t="shared" si="202"/>
        <v>1.0163494427140221E-3</v>
      </c>
    </row>
    <row r="556" spans="1:50" ht="15">
      <c r="A556" s="28">
        <v>44488</v>
      </c>
      <c r="B556" s="56">
        <v>101589045000</v>
      </c>
      <c r="C556" s="56">
        <v>16917235000</v>
      </c>
      <c r="D556" s="56"/>
      <c r="E556" s="56"/>
      <c r="F556" s="65">
        <f t="shared" si="196"/>
        <v>118506280000</v>
      </c>
      <c r="G556" s="65">
        <f t="shared" si="203"/>
        <v>31996696</v>
      </c>
      <c r="H556" s="58">
        <f>J556-I556</f>
        <v>2564000</v>
      </c>
      <c r="I556" s="57">
        <v>5070600000</v>
      </c>
      <c r="J556" s="57">
        <v>5073164000</v>
      </c>
      <c r="K556" s="57"/>
      <c r="L556" s="58">
        <f>N556-M556</f>
        <v>1254738000</v>
      </c>
      <c r="M556" s="57"/>
      <c r="N556" s="57">
        <v>1254738000</v>
      </c>
      <c r="O556" s="58">
        <f>Q556-P556</f>
        <v>44933000</v>
      </c>
      <c r="P556" s="57"/>
      <c r="Q556" s="57">
        <v>44933000</v>
      </c>
      <c r="R556" s="58">
        <f>T556-S556</f>
        <v>602397000</v>
      </c>
      <c r="S556" s="57"/>
      <c r="T556" s="57">
        <v>602397000</v>
      </c>
      <c r="U556" s="58">
        <f>W556-V556</f>
        <v>394617000</v>
      </c>
      <c r="V556" s="57"/>
      <c r="W556" s="57">
        <v>394617000</v>
      </c>
      <c r="X556" s="121"/>
      <c r="Y556" s="121"/>
      <c r="Z556" s="121"/>
      <c r="AA556" s="121"/>
      <c r="AB556" s="121"/>
      <c r="AC556" s="121"/>
      <c r="AD556" s="121"/>
      <c r="AE556" s="121"/>
      <c r="AF556" s="121"/>
      <c r="AG556" s="121"/>
      <c r="AH556" s="121"/>
      <c r="AI556" s="121"/>
      <c r="AJ556" s="121">
        <f t="shared" si="188"/>
        <v>1161027</v>
      </c>
      <c r="AK556" s="59">
        <f>1765300*0.3</f>
        <v>529590</v>
      </c>
      <c r="AL556" s="54">
        <v>44488</v>
      </c>
      <c r="AM556" s="60">
        <v>1352</v>
      </c>
      <c r="AN556" s="34">
        <f>2550*1449</f>
        <v>3694950</v>
      </c>
      <c r="AO556" s="125">
        <f t="shared" si="172"/>
        <v>3650400</v>
      </c>
      <c r="AP556" s="59"/>
      <c r="AQ556" s="100">
        <v>49578767956600</v>
      </c>
      <c r="AR556" s="100">
        <v>65885998000</v>
      </c>
      <c r="AS556" s="100">
        <v>13008749000</v>
      </c>
      <c r="AT556" s="103">
        <v>131515029000</v>
      </c>
      <c r="AU556" s="55">
        <v>41032663</v>
      </c>
      <c r="AV556" s="99">
        <v>8699062375.6000004</v>
      </c>
      <c r="AX556" s="74">
        <f t="shared" si="202"/>
        <v>2.6526481883358808E-3</v>
      </c>
    </row>
    <row r="557" spans="1:50" ht="15">
      <c r="A557" s="28">
        <v>44489</v>
      </c>
      <c r="B557" s="56">
        <v>132103980000</v>
      </c>
      <c r="C557" s="56"/>
      <c r="D557" s="56"/>
      <c r="E557" s="56"/>
      <c r="F557" s="65">
        <f t="shared" si="196"/>
        <v>132103980000</v>
      </c>
      <c r="G557" s="65">
        <f t="shared" si="203"/>
        <v>35668075</v>
      </c>
      <c r="H557" s="58">
        <f>J557-I557</f>
        <v>28181680000</v>
      </c>
      <c r="I557" s="57">
        <v>96235500000</v>
      </c>
      <c r="J557" s="57">
        <v>124417180000</v>
      </c>
      <c r="K557" s="57"/>
      <c r="L557" s="58">
        <f>N557-M557</f>
        <v>14986240000</v>
      </c>
      <c r="M557" s="57"/>
      <c r="N557" s="57">
        <v>14986240000</v>
      </c>
      <c r="O557" s="58">
        <f>Q557-P557</f>
        <v>343953000</v>
      </c>
      <c r="P557" s="57"/>
      <c r="Q557" s="57">
        <v>343953000</v>
      </c>
      <c r="R557" s="58">
        <f>T557-S557</f>
        <v>573481000</v>
      </c>
      <c r="S557" s="57"/>
      <c r="T557" s="57">
        <v>573481000</v>
      </c>
      <c r="U557" s="58">
        <f>W557-V557</f>
        <v>422026000</v>
      </c>
      <c r="V557" s="57"/>
      <c r="W557" s="57">
        <v>422026000</v>
      </c>
      <c r="X557" s="121"/>
      <c r="Y557" s="121"/>
      <c r="Z557" s="121"/>
      <c r="AA557" s="121"/>
      <c r="AB557" s="121"/>
      <c r="AC557" s="121"/>
      <c r="AD557" s="121"/>
      <c r="AE557" s="121"/>
      <c r="AF557" s="121"/>
      <c r="AG557" s="121"/>
      <c r="AH557" s="121"/>
      <c r="AI557" s="121"/>
      <c r="AJ557" s="121">
        <f t="shared" si="188"/>
        <v>22129187</v>
      </c>
      <c r="AK557" s="59">
        <f>(587600*0.3)+300000</f>
        <v>476280</v>
      </c>
      <c r="AL557" s="54">
        <v>44489</v>
      </c>
      <c r="AM557" s="60">
        <v>1240</v>
      </c>
      <c r="AN557" s="34">
        <v>4924050</v>
      </c>
      <c r="AO557" s="125">
        <f t="shared" si="172"/>
        <v>3348000</v>
      </c>
      <c r="AP557" s="59"/>
      <c r="AQ557" s="100">
        <v>57039794898600</v>
      </c>
      <c r="AR557" s="100">
        <v>511031196000</v>
      </c>
      <c r="AS557" s="100">
        <v>263110939000</v>
      </c>
      <c r="AT557" s="103">
        <v>395214919000</v>
      </c>
      <c r="AU557" s="55">
        <v>66545592</v>
      </c>
      <c r="AV557" s="99">
        <v>8765607967.6000004</v>
      </c>
      <c r="AX557" s="74">
        <f t="shared" si="202"/>
        <v>6.9287577156014676E-3</v>
      </c>
    </row>
    <row r="558" spans="1:50" ht="15">
      <c r="A558" s="28">
        <v>44490</v>
      </c>
      <c r="B558" s="118">
        <v>57193835000</v>
      </c>
      <c r="C558" s="118"/>
      <c r="D558" s="118"/>
      <c r="E558" s="118"/>
      <c r="F558" s="65">
        <f t="shared" si="196"/>
        <v>57193835000</v>
      </c>
      <c r="G558" s="65">
        <f t="shared" si="203"/>
        <v>15442335</v>
      </c>
      <c r="H558" s="58">
        <f>J558-I558</f>
        <v>2563000</v>
      </c>
      <c r="I558" s="121">
        <v>15187400000</v>
      </c>
      <c r="J558" s="121">
        <v>15189963000</v>
      </c>
      <c r="K558" s="121"/>
      <c r="L558" s="58">
        <f>N558-M558</f>
        <v>38000000</v>
      </c>
      <c r="M558" s="121"/>
      <c r="N558" s="121">
        <v>38000000</v>
      </c>
      <c r="O558" s="58">
        <f>Q558-P558</f>
        <v>839480000</v>
      </c>
      <c r="P558" s="121"/>
      <c r="Q558" s="121">
        <v>839480000</v>
      </c>
      <c r="R558" s="58">
        <f>T558-S558</f>
        <v>615035000</v>
      </c>
      <c r="S558" s="121"/>
      <c r="T558" s="121">
        <v>615035000</v>
      </c>
      <c r="U558" s="58">
        <f>W558-V558</f>
        <v>2411617000</v>
      </c>
      <c r="V558" s="121"/>
      <c r="W558" s="121">
        <v>2411617000</v>
      </c>
      <c r="X558" s="121"/>
      <c r="Y558" s="121"/>
      <c r="Z558" s="121"/>
      <c r="AA558" s="121"/>
      <c r="AB558" s="121"/>
      <c r="AC558" s="121"/>
      <c r="AD558" s="121"/>
      <c r="AE558" s="121"/>
      <c r="AF558" s="121"/>
      <c r="AG558" s="121"/>
      <c r="AH558" s="121"/>
      <c r="AI558" s="121"/>
      <c r="AJ558" s="121">
        <f t="shared" si="188"/>
        <v>3155655</v>
      </c>
      <c r="AK558" s="124">
        <f>707200*0.3</f>
        <v>212160</v>
      </c>
      <c r="AL558" s="54">
        <v>44490</v>
      </c>
      <c r="AM558" s="125">
        <v>300</v>
      </c>
      <c r="AN558" s="54">
        <f>2550*1572+89*2550</f>
        <v>4235550</v>
      </c>
      <c r="AO558" s="125">
        <f t="shared" si="172"/>
        <v>810000</v>
      </c>
      <c r="AP558" s="124"/>
      <c r="AQ558" s="101">
        <v>50170754619124</v>
      </c>
      <c r="AR558" s="100">
        <v>221928282000</v>
      </c>
      <c r="AS558" s="101">
        <v>44738860000</v>
      </c>
      <c r="AT558" s="105">
        <v>101932695000</v>
      </c>
      <c r="AU558" s="55">
        <v>23855700</v>
      </c>
      <c r="AV558" s="99">
        <v>8789463667.6000004</v>
      </c>
      <c r="AX558" s="74">
        <f t="shared" si="202"/>
        <v>2.03171540419975E-3</v>
      </c>
    </row>
    <row r="559" spans="1:50" ht="15">
      <c r="A559" s="28">
        <v>44491</v>
      </c>
      <c r="B559" s="56">
        <v>33310390000</v>
      </c>
      <c r="C559" s="65">
        <v>29209645000</v>
      </c>
      <c r="D559" s="141"/>
      <c r="E559" s="65"/>
      <c r="F559" s="65">
        <f t="shared" ref="F559:F563" si="204">SUM(B559:E559)</f>
        <v>62520035000</v>
      </c>
      <c r="G559" s="65">
        <f t="shared" ref="G559:G609" si="205">ROUND(F559*0.027%,0)</f>
        <v>16880409</v>
      </c>
      <c r="H559" s="58">
        <f t="shared" ref="H559:H560" si="206">J559-I559</f>
        <v>2508000</v>
      </c>
      <c r="I559" s="58"/>
      <c r="J559" s="58">
        <v>2508000</v>
      </c>
      <c r="K559" s="58"/>
      <c r="L559" s="58">
        <f t="shared" ref="L559:L560" si="207">N559-M559</f>
        <v>1602428000</v>
      </c>
      <c r="M559" s="58"/>
      <c r="N559" s="58">
        <v>1602428000</v>
      </c>
      <c r="O559" s="58">
        <f t="shared" ref="O559:O560" si="208">Q559-P559</f>
        <v>861559000</v>
      </c>
      <c r="P559" s="58"/>
      <c r="Q559" s="58">
        <v>861559000</v>
      </c>
      <c r="R559" s="58">
        <f t="shared" ref="R559:R560" si="209">T559-S559</f>
        <v>808662000</v>
      </c>
      <c r="S559" s="58"/>
      <c r="T559" s="58">
        <v>808662000</v>
      </c>
      <c r="U559" s="58">
        <f t="shared" ref="U559:U560" si="210">W559-V559</f>
        <v>272605000</v>
      </c>
      <c r="V559" s="58"/>
      <c r="W559" s="58">
        <v>272605000</v>
      </c>
      <c r="X559" s="122"/>
      <c r="Y559" s="122"/>
      <c r="Z559" s="122"/>
      <c r="AA559" s="122"/>
      <c r="AB559" s="122"/>
      <c r="AC559" s="122"/>
      <c r="AD559" s="122"/>
      <c r="AE559" s="122"/>
      <c r="AF559" s="122"/>
      <c r="AG559" s="122"/>
      <c r="AH559" s="122"/>
      <c r="AI559" s="122"/>
      <c r="AJ559" s="121">
        <f t="shared" si="188"/>
        <v>383158</v>
      </c>
      <c r="AK559" s="66">
        <f>526200*0.3</f>
        <v>157860</v>
      </c>
      <c r="AL559" s="54">
        <v>44491</v>
      </c>
      <c r="AM559" s="116">
        <v>452</v>
      </c>
      <c r="AN559" s="42">
        <f>2550*3*1644</f>
        <v>12576600</v>
      </c>
      <c r="AO559" s="125">
        <f t="shared" si="172"/>
        <v>1220400</v>
      </c>
      <c r="AP559" s="135"/>
      <c r="AQ559" s="102">
        <v>53913113090400</v>
      </c>
      <c r="AR559" s="102">
        <v>28032720000</v>
      </c>
      <c r="AS559" s="102">
        <v>4123027000</v>
      </c>
      <c r="AT559" s="104">
        <v>66643062000</v>
      </c>
      <c r="AU559" s="55">
        <v>31218427</v>
      </c>
      <c r="AV559" s="99">
        <v>8820682094.6000004</v>
      </c>
      <c r="AX559" s="74">
        <f t="shared" si="202"/>
        <v>1.2361197152213187E-3</v>
      </c>
    </row>
    <row r="560" spans="1:50" ht="15">
      <c r="A560" s="28">
        <v>44494</v>
      </c>
      <c r="B560" s="56">
        <v>61340390000</v>
      </c>
      <c r="C560" s="56">
        <v>9775130000</v>
      </c>
      <c r="D560" s="56"/>
      <c r="E560" s="56"/>
      <c r="F560" s="65">
        <f t="shared" si="204"/>
        <v>71115520000</v>
      </c>
      <c r="G560" s="65">
        <f t="shared" si="205"/>
        <v>19201190</v>
      </c>
      <c r="H560" s="58">
        <f t="shared" si="206"/>
        <v>10686220000</v>
      </c>
      <c r="I560" s="57">
        <v>6249500000</v>
      </c>
      <c r="J560" s="57">
        <v>16935720000</v>
      </c>
      <c r="K560" s="57"/>
      <c r="L560" s="58">
        <f t="shared" si="207"/>
        <v>11683461000</v>
      </c>
      <c r="M560" s="57">
        <v>1293696000</v>
      </c>
      <c r="N560" s="57">
        <v>12977157000</v>
      </c>
      <c r="O560" s="58">
        <f t="shared" si="208"/>
        <v>964949000</v>
      </c>
      <c r="P560" s="57"/>
      <c r="Q560" s="57">
        <v>964949000</v>
      </c>
      <c r="R560" s="58">
        <f t="shared" si="209"/>
        <v>659912000</v>
      </c>
      <c r="S560" s="57"/>
      <c r="T560" s="57">
        <v>659912000</v>
      </c>
      <c r="U560" s="58">
        <f t="shared" si="210"/>
        <v>2506204000</v>
      </c>
      <c r="V560" s="57"/>
      <c r="W560" s="57">
        <v>2506204000</v>
      </c>
      <c r="X560" s="121"/>
      <c r="Y560" s="121"/>
      <c r="Z560" s="121"/>
      <c r="AA560" s="121"/>
      <c r="AB560" s="121"/>
      <c r="AC560" s="121"/>
      <c r="AD560" s="121"/>
      <c r="AE560" s="121"/>
      <c r="AF560" s="121"/>
      <c r="AG560" s="121"/>
      <c r="AH560" s="121"/>
      <c r="AI560" s="121"/>
      <c r="AJ560" s="121">
        <f t="shared" si="188"/>
        <v>4219856</v>
      </c>
      <c r="AK560" s="59">
        <f>438200*0.3</f>
        <v>131460</v>
      </c>
      <c r="AL560" s="54">
        <v>44494</v>
      </c>
      <c r="AM560" s="60">
        <v>441</v>
      </c>
      <c r="AN560" s="34">
        <f>2550*1993</f>
        <v>5082150</v>
      </c>
      <c r="AO560" s="125">
        <f t="shared" si="172"/>
        <v>1190700</v>
      </c>
      <c r="AP560" s="59"/>
      <c r="AQ560" s="100">
        <v>65435308128230</v>
      </c>
      <c r="AR560" s="100">
        <v>130608886000</v>
      </c>
      <c r="AS560" s="100">
        <v>42151111000</v>
      </c>
      <c r="AT560" s="103">
        <v>113266631000</v>
      </c>
      <c r="AU560" s="55">
        <v>29825356</v>
      </c>
      <c r="AV560" s="99">
        <v>8850507450.6000004</v>
      </c>
      <c r="AX560" s="74">
        <f t="shared" si="202"/>
        <v>1.7309711567039246E-3</v>
      </c>
    </row>
    <row r="561" spans="1:50" ht="15">
      <c r="A561" s="28">
        <v>44495</v>
      </c>
      <c r="B561" s="56">
        <v>106178070000</v>
      </c>
      <c r="C561" s="56"/>
      <c r="D561" s="56"/>
      <c r="E561" s="56"/>
      <c r="F561" s="65">
        <f t="shared" si="204"/>
        <v>106178070000</v>
      </c>
      <c r="G561" s="65">
        <f t="shared" si="205"/>
        <v>28668079</v>
      </c>
      <c r="H561" s="58">
        <f>J561-I561</f>
        <v>1212536000</v>
      </c>
      <c r="I561" s="57">
        <v>52308950000</v>
      </c>
      <c r="J561" s="57">
        <v>53521486000</v>
      </c>
      <c r="K561" s="57"/>
      <c r="L561" s="58">
        <f>N561-M561</f>
        <v>15364666000</v>
      </c>
      <c r="M561" s="57"/>
      <c r="N561" s="57">
        <v>15364666000</v>
      </c>
      <c r="O561" s="58">
        <f>Q561-P561</f>
        <v>2202028000</v>
      </c>
      <c r="P561" s="57"/>
      <c r="Q561" s="57">
        <v>2202028000</v>
      </c>
      <c r="R561" s="58">
        <f>T561-S561</f>
        <v>591887000</v>
      </c>
      <c r="S561" s="57"/>
      <c r="T561" s="57">
        <v>591887000</v>
      </c>
      <c r="U561" s="58">
        <f>W561-V561</f>
        <v>605799000</v>
      </c>
      <c r="V561" s="57"/>
      <c r="W561" s="57">
        <v>605799000</v>
      </c>
      <c r="X561" s="121"/>
      <c r="Y561" s="121"/>
      <c r="Z561" s="121"/>
      <c r="AA561" s="121"/>
      <c r="AB561" s="121"/>
      <c r="AC561" s="121"/>
      <c r="AD561" s="121"/>
      <c r="AE561" s="121"/>
      <c r="AF561" s="121"/>
      <c r="AG561" s="121"/>
      <c r="AH561" s="121"/>
      <c r="AI561" s="121"/>
      <c r="AJ561" s="121">
        <f t="shared" si="188"/>
        <v>11573118</v>
      </c>
      <c r="AK561" s="59">
        <f>963200*0.3+300000</f>
        <v>588960</v>
      </c>
      <c r="AL561" s="54">
        <v>44495</v>
      </c>
      <c r="AM561" s="60">
        <v>1203</v>
      </c>
      <c r="AN561" s="34">
        <f>2550*1742</f>
        <v>4442100</v>
      </c>
      <c r="AO561" s="125">
        <f t="shared" si="172"/>
        <v>3248100</v>
      </c>
      <c r="AP561" s="59"/>
      <c r="AQ561" s="100">
        <v>50907572663800</v>
      </c>
      <c r="AR561" s="100">
        <v>185181000000</v>
      </c>
      <c r="AS561" s="100">
        <v>114455799000</v>
      </c>
      <c r="AT561" s="103">
        <v>220633869000</v>
      </c>
      <c r="AU561" s="55">
        <v>48520357</v>
      </c>
      <c r="AV561" s="99">
        <v>8899027807.6000004</v>
      </c>
      <c r="AX561" s="74">
        <f t="shared" si="202"/>
        <v>4.3340088213809323E-3</v>
      </c>
    </row>
    <row r="562" spans="1:50" ht="15">
      <c r="A562" s="28">
        <v>44496</v>
      </c>
      <c r="B562" s="56">
        <v>177967760000</v>
      </c>
      <c r="C562" s="56"/>
      <c r="D562" s="56"/>
      <c r="E562" s="56"/>
      <c r="F562" s="65">
        <f t="shared" si="204"/>
        <v>177967760000</v>
      </c>
      <c r="G562" s="65">
        <f t="shared" si="205"/>
        <v>48051295</v>
      </c>
      <c r="H562" s="58">
        <f>J562-I562</f>
        <v>26802919000</v>
      </c>
      <c r="I562" s="57">
        <v>152423850000</v>
      </c>
      <c r="J562" s="57">
        <v>179226769000</v>
      </c>
      <c r="K562" s="57"/>
      <c r="L562" s="58">
        <f>N562-M562</f>
        <v>12063437000</v>
      </c>
      <c r="M562" s="57"/>
      <c r="N562" s="57">
        <v>12063437000</v>
      </c>
      <c r="O562" s="58">
        <f>Q562-P562</f>
        <v>308194000</v>
      </c>
      <c r="P562" s="57"/>
      <c r="Q562" s="57">
        <v>308194000</v>
      </c>
      <c r="R562" s="58">
        <f>T562-S562</f>
        <v>612760000</v>
      </c>
      <c r="S562" s="57"/>
      <c r="T562" s="57">
        <v>612760000</v>
      </c>
      <c r="U562" s="58">
        <f>W562-V562</f>
        <v>3410222000</v>
      </c>
      <c r="V562" s="57"/>
      <c r="W562" s="57">
        <v>3410222000</v>
      </c>
      <c r="X562" s="121"/>
      <c r="Y562" s="121"/>
      <c r="Z562" s="121"/>
      <c r="AA562" s="121"/>
      <c r="AB562" s="121"/>
      <c r="AC562" s="121"/>
      <c r="AD562" s="121"/>
      <c r="AE562" s="121"/>
      <c r="AF562" s="121"/>
      <c r="AG562" s="121"/>
      <c r="AH562" s="121"/>
      <c r="AI562" s="121"/>
      <c r="AJ562" s="121">
        <f t="shared" si="188"/>
        <v>32101626</v>
      </c>
      <c r="AK562" s="59">
        <f>189400*0.3+300000</f>
        <v>356820</v>
      </c>
      <c r="AL562" s="54">
        <v>44496</v>
      </c>
      <c r="AM562" s="60">
        <v>740</v>
      </c>
      <c r="AN562" s="34">
        <f>2550*2314</f>
        <v>5900700</v>
      </c>
      <c r="AO562" s="125">
        <f t="shared" si="172"/>
        <v>1998000</v>
      </c>
      <c r="AP562" s="59">
        <f>5691904+35219145</f>
        <v>40911049</v>
      </c>
      <c r="AQ562" s="100">
        <v>70902233018662</v>
      </c>
      <c r="AR562" s="100">
        <v>414419016000</v>
      </c>
      <c r="AS562" s="100">
        <v>348614532000</v>
      </c>
      <c r="AT562" s="103">
        <v>526582292000</v>
      </c>
      <c r="AU562" s="55">
        <v>129319490</v>
      </c>
      <c r="AV562" s="99">
        <v>9028347297.6000004</v>
      </c>
      <c r="AX562" s="74">
        <f t="shared" si="202"/>
        <v>7.4268788101694849E-3</v>
      </c>
    </row>
    <row r="563" spans="1:50" ht="15">
      <c r="A563" s="28">
        <v>44497</v>
      </c>
      <c r="B563" s="118">
        <v>22625960000</v>
      </c>
      <c r="C563" s="118">
        <v>17666305000</v>
      </c>
      <c r="D563" s="118"/>
      <c r="E563" s="118"/>
      <c r="F563" s="65">
        <f t="shared" si="204"/>
        <v>40292265000</v>
      </c>
      <c r="G563" s="65">
        <f t="shared" si="205"/>
        <v>10878912</v>
      </c>
      <c r="H563" s="58">
        <f>J563-I563</f>
        <v>1008855000</v>
      </c>
      <c r="I563" s="121"/>
      <c r="J563" s="121">
        <v>1008855000</v>
      </c>
      <c r="K563" s="121"/>
      <c r="L563" s="58">
        <f>N563-M563</f>
        <v>3925149000</v>
      </c>
      <c r="M563" s="121"/>
      <c r="N563" s="121">
        <v>3925149000</v>
      </c>
      <c r="O563" s="58">
        <f>Q563-P563</f>
        <v>1434038000</v>
      </c>
      <c r="P563" s="121"/>
      <c r="Q563" s="121">
        <v>1434038000</v>
      </c>
      <c r="R563" s="58">
        <f>T563-S563</f>
        <v>729091000</v>
      </c>
      <c r="S563" s="121"/>
      <c r="T563" s="121">
        <v>729091000</v>
      </c>
      <c r="U563" s="58">
        <f>W563-V563</f>
        <v>2991823000</v>
      </c>
      <c r="V563" s="121"/>
      <c r="W563" s="121">
        <v>2991823000</v>
      </c>
      <c r="X563" s="121"/>
      <c r="Y563" s="121"/>
      <c r="Z563" s="121"/>
      <c r="AA563" s="121"/>
      <c r="AB563" s="121"/>
      <c r="AC563" s="121"/>
      <c r="AD563" s="121"/>
      <c r="AE563" s="121"/>
      <c r="AF563" s="121"/>
      <c r="AG563" s="121"/>
      <c r="AH563" s="121"/>
      <c r="AI563" s="121"/>
      <c r="AJ563" s="121">
        <f t="shared" si="188"/>
        <v>1089607</v>
      </c>
      <c r="AK563" s="124">
        <f>326100*0.3</f>
        <v>97830</v>
      </c>
      <c r="AL563" s="54">
        <v>44497</v>
      </c>
      <c r="AM563" s="125">
        <v>324</v>
      </c>
      <c r="AN563" s="54">
        <f>2550*2392</f>
        <v>6099600</v>
      </c>
      <c r="AO563" s="125">
        <f t="shared" si="172"/>
        <v>874800</v>
      </c>
      <c r="AP563" s="124">
        <v>1600000</v>
      </c>
      <c r="AQ563" s="101">
        <v>65619189634618</v>
      </c>
      <c r="AR563" s="100">
        <v>97038000000</v>
      </c>
      <c r="AS563" s="101">
        <v>10804905000</v>
      </c>
      <c r="AT563" s="105">
        <v>51097170000</v>
      </c>
      <c r="AU563" s="55">
        <v>20640749</v>
      </c>
      <c r="AV563" s="99">
        <v>9048988046.6000004</v>
      </c>
      <c r="AX563" s="74">
        <f t="shared" si="202"/>
        <v>7.7869248743424324E-4</v>
      </c>
    </row>
    <row r="564" spans="1:50" ht="15">
      <c r="A564" s="80">
        <v>44498</v>
      </c>
      <c r="B564" s="142">
        <v>36171920000</v>
      </c>
      <c r="C564" s="142"/>
      <c r="D564" s="142"/>
      <c r="E564" s="142"/>
      <c r="F564" s="142">
        <f t="shared" ref="F564" si="211">SUM(B564:E564)</f>
        <v>36171920000</v>
      </c>
      <c r="G564" s="142">
        <f t="shared" si="205"/>
        <v>9766418</v>
      </c>
      <c r="H564" s="142">
        <f>J564-I564</f>
        <v>1257971000</v>
      </c>
      <c r="I564" s="142"/>
      <c r="J564" s="142">
        <v>1257971000</v>
      </c>
      <c r="K564" s="142"/>
      <c r="L564" s="142">
        <f>N564-M564</f>
        <v>1982835000</v>
      </c>
      <c r="M564" s="142"/>
      <c r="N564" s="142">
        <v>1982835000</v>
      </c>
      <c r="O564" s="142">
        <f>Q564-P564</f>
        <v>827567000</v>
      </c>
      <c r="P564" s="142"/>
      <c r="Q564" s="142">
        <v>827567000</v>
      </c>
      <c r="R564" s="142">
        <f>T564-S564</f>
        <v>662455000</v>
      </c>
      <c r="S564" s="142"/>
      <c r="T564" s="142">
        <v>662455000</v>
      </c>
      <c r="U564" s="142">
        <f>W564-V564</f>
        <v>3671417000</v>
      </c>
      <c r="V564" s="142"/>
      <c r="W564" s="142">
        <v>3671417000</v>
      </c>
      <c r="X564" s="142"/>
      <c r="Y564" s="142"/>
      <c r="Z564" s="142"/>
      <c r="AA564" s="142"/>
      <c r="AB564" s="142"/>
      <c r="AC564" s="142"/>
      <c r="AD564" s="142"/>
      <c r="AE564" s="142"/>
      <c r="AF564" s="142"/>
      <c r="AG564" s="142"/>
      <c r="AH564" s="142"/>
      <c r="AI564" s="142"/>
      <c r="AJ564" s="142">
        <f t="shared" si="188"/>
        <v>907442</v>
      </c>
      <c r="AK564" s="142">
        <f>456700*0.3</f>
        <v>137010</v>
      </c>
      <c r="AL564" s="149">
        <v>44498</v>
      </c>
      <c r="AM564" s="142">
        <v>311</v>
      </c>
      <c r="AN564" s="149">
        <f>2347*2550*3</f>
        <v>17954550</v>
      </c>
      <c r="AO564" s="142">
        <f t="shared" si="172"/>
        <v>839700</v>
      </c>
      <c r="AP564" s="142"/>
      <c r="AQ564" s="102">
        <v>70140791000000</v>
      </c>
      <c r="AR564" s="102">
        <v>353236000000</v>
      </c>
      <c r="AS564" s="102">
        <v>9295615000</v>
      </c>
      <c r="AT564" s="104">
        <v>45467535000</v>
      </c>
      <c r="AU564" s="55">
        <v>29605120</v>
      </c>
      <c r="AV564" s="99">
        <v>9078593166.6000004</v>
      </c>
      <c r="AX564" s="74">
        <f t="shared" si="202"/>
        <v>6.4823242441049741E-4</v>
      </c>
    </row>
    <row r="565" spans="1:50" ht="15">
      <c r="A565" s="28">
        <v>44501</v>
      </c>
      <c r="B565" s="56">
        <v>73489860000</v>
      </c>
      <c r="C565" s="56">
        <v>52331880000</v>
      </c>
      <c r="D565" s="56"/>
      <c r="E565" s="56"/>
      <c r="F565" s="65">
        <f t="shared" ref="F565:F568" si="212">SUM(B565:E565)</f>
        <v>125821740000</v>
      </c>
      <c r="G565" s="65">
        <f t="shared" si="205"/>
        <v>33971870</v>
      </c>
      <c r="H565" s="58">
        <f t="shared" ref="H565" si="213">J565-I565</f>
        <v>10107703000</v>
      </c>
      <c r="I565" s="57"/>
      <c r="J565" s="57">
        <v>10107703000</v>
      </c>
      <c r="K565" s="57"/>
      <c r="L565" s="58">
        <f t="shared" ref="L565" si="214">N565-M565</f>
        <v>28468781000</v>
      </c>
      <c r="M565" s="57"/>
      <c r="N565" s="57">
        <v>28468781000</v>
      </c>
      <c r="O565" s="58">
        <f t="shared" ref="O565" si="215">Q565-P565</f>
        <v>613522000</v>
      </c>
      <c r="P565" s="57"/>
      <c r="Q565" s="57">
        <v>613522000</v>
      </c>
      <c r="R565" s="58">
        <f t="shared" ref="R565" si="216">T565-S565</f>
        <v>973121000</v>
      </c>
      <c r="S565" s="57"/>
      <c r="T565" s="57">
        <v>973121000</v>
      </c>
      <c r="U565" s="58">
        <f t="shared" ref="U565" si="217">W565-V565</f>
        <v>244598000</v>
      </c>
      <c r="V565" s="57"/>
      <c r="W565" s="57">
        <v>244598000</v>
      </c>
      <c r="X565" s="121"/>
      <c r="Y565" s="121"/>
      <c r="Z565" s="121"/>
      <c r="AA565" s="121"/>
      <c r="AB565" s="121"/>
      <c r="AC565" s="121"/>
      <c r="AD565" s="121"/>
      <c r="AE565" s="121"/>
      <c r="AF565" s="121"/>
      <c r="AG565" s="121"/>
      <c r="AH565" s="121"/>
      <c r="AI565" s="121"/>
      <c r="AJ565" s="121">
        <f t="shared" si="188"/>
        <v>4364034</v>
      </c>
      <c r="AK565" s="59">
        <f>1526200*0.3</f>
        <v>457860</v>
      </c>
      <c r="AL565" s="54">
        <v>44501</v>
      </c>
      <c r="AM565" s="60">
        <v>897</v>
      </c>
      <c r="AN565" s="34">
        <f>2330*2550</f>
        <v>5941500</v>
      </c>
      <c r="AO565" s="125">
        <f t="shared" si="172"/>
        <v>2421900</v>
      </c>
      <c r="AP565" s="59"/>
      <c r="AQ565" s="100">
        <v>81966474884270</v>
      </c>
      <c r="AR565" s="100">
        <v>241818304000</v>
      </c>
      <c r="AS565" s="100">
        <v>41426206000</v>
      </c>
      <c r="AT565" s="103">
        <v>167247946000</v>
      </c>
      <c r="AU565" s="55">
        <v>47157164</v>
      </c>
      <c r="AV565" s="99">
        <v>9125750330.6000004</v>
      </c>
      <c r="AX565" s="74">
        <f t="shared" si="202"/>
        <v>2.0404433182729951E-3</v>
      </c>
    </row>
    <row r="566" spans="1:50" ht="15">
      <c r="A566" s="28">
        <v>44502</v>
      </c>
      <c r="B566" s="56">
        <v>90110560000</v>
      </c>
      <c r="C566" s="56">
        <v>405540000</v>
      </c>
      <c r="D566" s="56"/>
      <c r="E566" s="56"/>
      <c r="F566" s="65">
        <f t="shared" si="212"/>
        <v>90516100000</v>
      </c>
      <c r="G566" s="65">
        <f t="shared" si="205"/>
        <v>24439347</v>
      </c>
      <c r="H566" s="58">
        <f>J566-I566</f>
        <v>9741795000</v>
      </c>
      <c r="I566" s="57">
        <v>2758428000</v>
      </c>
      <c r="J566" s="57">
        <v>12500223000</v>
      </c>
      <c r="K566" s="57"/>
      <c r="L566" s="58">
        <f>N566-M566</f>
        <v>13054835000</v>
      </c>
      <c r="M566" s="57"/>
      <c r="N566" s="57">
        <v>13054835000</v>
      </c>
      <c r="O566" s="58">
        <f>Q566-P566</f>
        <v>239081000</v>
      </c>
      <c r="P566" s="57"/>
      <c r="Q566" s="57">
        <v>239081000</v>
      </c>
      <c r="R566" s="58">
        <f>T566-S566</f>
        <v>639720000</v>
      </c>
      <c r="S566" s="57"/>
      <c r="T566" s="57">
        <v>639720000</v>
      </c>
      <c r="U566" s="58">
        <f>W566-V566</f>
        <v>3466522000</v>
      </c>
      <c r="V566" s="57"/>
      <c r="W566" s="57">
        <v>3466522000</v>
      </c>
      <c r="X566" s="121"/>
      <c r="Y566" s="121"/>
      <c r="Z566" s="121"/>
      <c r="AA566" s="121"/>
      <c r="AB566" s="121"/>
      <c r="AC566" s="121"/>
      <c r="AD566" s="121"/>
      <c r="AE566" s="121"/>
      <c r="AF566" s="121"/>
      <c r="AG566" s="121"/>
      <c r="AH566" s="121"/>
      <c r="AI566" s="121"/>
      <c r="AJ566" s="121">
        <f t="shared" si="188"/>
        <v>3427848</v>
      </c>
      <c r="AK566" s="59">
        <f>717700*0.3</f>
        <v>215310</v>
      </c>
      <c r="AL566" s="54">
        <v>44502</v>
      </c>
      <c r="AM566" s="60">
        <v>830</v>
      </c>
      <c r="AN566" s="34">
        <f>2602*2550</f>
        <v>6635100</v>
      </c>
      <c r="AO566" s="125">
        <f t="shared" si="172"/>
        <v>2241000</v>
      </c>
      <c r="AP566" s="59"/>
      <c r="AQ566" s="100">
        <v>73219415711800</v>
      </c>
      <c r="AR566" s="100">
        <v>125424640000</v>
      </c>
      <c r="AS566" s="100">
        <v>33236909000</v>
      </c>
      <c r="AT566" s="103">
        <v>123753009000</v>
      </c>
      <c r="AU566" s="55">
        <v>36958605</v>
      </c>
      <c r="AV566" s="99">
        <v>9162708935.6000004</v>
      </c>
      <c r="AX566" s="74">
        <f t="shared" si="202"/>
        <v>1.6901665739468069E-3</v>
      </c>
    </row>
    <row r="567" spans="1:50" ht="15">
      <c r="A567" s="28">
        <v>44503</v>
      </c>
      <c r="B567" s="56">
        <v>110506995000</v>
      </c>
      <c r="C567" s="56"/>
      <c r="D567" s="56"/>
      <c r="E567" s="56"/>
      <c r="F567" s="65">
        <f t="shared" si="212"/>
        <v>110506995000</v>
      </c>
      <c r="G567" s="65">
        <f t="shared" si="205"/>
        <v>29836889</v>
      </c>
      <c r="H567" s="58">
        <f>J567-I567</f>
        <v>148845000</v>
      </c>
      <c r="I567" s="57"/>
      <c r="J567" s="57">
        <v>148845000</v>
      </c>
      <c r="K567" s="57"/>
      <c r="L567" s="58">
        <f>N567-M567</f>
        <v>11465723000</v>
      </c>
      <c r="M567" s="57"/>
      <c r="N567" s="57">
        <v>11465723000</v>
      </c>
      <c r="O567" s="58">
        <f>Q567-P567</f>
        <v>1775902000</v>
      </c>
      <c r="P567" s="57"/>
      <c r="Q567" s="57">
        <v>1775902000</v>
      </c>
      <c r="R567" s="58">
        <f>T567-S567</f>
        <v>656132000</v>
      </c>
      <c r="S567" s="57"/>
      <c r="T567" s="57">
        <v>656132000</v>
      </c>
      <c r="U567" s="58">
        <f>W567-V567</f>
        <v>561522000</v>
      </c>
      <c r="V567" s="57"/>
      <c r="W567" s="57">
        <v>561522000</v>
      </c>
      <c r="X567" s="121"/>
      <c r="Y567" s="121"/>
      <c r="Z567" s="121"/>
      <c r="AA567" s="121"/>
      <c r="AB567" s="121"/>
      <c r="AC567" s="121"/>
      <c r="AD567" s="121"/>
      <c r="AE567" s="121"/>
      <c r="AF567" s="121"/>
      <c r="AG567" s="121"/>
      <c r="AH567" s="121"/>
      <c r="AI567" s="121"/>
      <c r="AJ567" s="121">
        <f t="shared" si="188"/>
        <v>1577677</v>
      </c>
      <c r="AK567" s="59">
        <f>1679400*0.3</f>
        <v>503820</v>
      </c>
      <c r="AL567" s="54">
        <v>44503</v>
      </c>
      <c r="AM567" s="60">
        <v>852</v>
      </c>
      <c r="AN567" s="34">
        <f>2172*2550</f>
        <v>5538600</v>
      </c>
      <c r="AO567" s="125">
        <f t="shared" si="172"/>
        <v>2300400</v>
      </c>
      <c r="AP567" s="59"/>
      <c r="AQ567" s="100">
        <v>104342669484600</v>
      </c>
      <c r="AR567" s="100">
        <v>59032000000</v>
      </c>
      <c r="AS567" s="100">
        <v>15320097000</v>
      </c>
      <c r="AT567" s="103">
        <v>125827092000</v>
      </c>
      <c r="AU567" s="55">
        <v>39757386</v>
      </c>
      <c r="AV567" s="99">
        <v>9202466321.6000004</v>
      </c>
      <c r="AX567" s="74">
        <f t="shared" si="202"/>
        <v>1.2059025576163823E-3</v>
      </c>
    </row>
    <row r="568" spans="1:50" ht="15">
      <c r="A568" s="28">
        <v>44504</v>
      </c>
      <c r="B568" s="118">
        <v>58863600000</v>
      </c>
      <c r="C568" s="118"/>
      <c r="D568" s="118"/>
      <c r="E568" s="118"/>
      <c r="F568" s="120">
        <f t="shared" si="212"/>
        <v>58863600000</v>
      </c>
      <c r="G568" s="120">
        <f t="shared" si="205"/>
        <v>15893172</v>
      </c>
      <c r="H568" s="122">
        <f>J568-I568</f>
        <v>17347896000</v>
      </c>
      <c r="I568" s="121"/>
      <c r="J568" s="121">
        <v>17347896000</v>
      </c>
      <c r="K568" s="121"/>
      <c r="L568" s="122">
        <f>N568-M568</f>
        <v>11814861000</v>
      </c>
      <c r="M568" s="121"/>
      <c r="N568" s="121">
        <v>11814861000</v>
      </c>
      <c r="O568" s="122">
        <f>Q568-P568</f>
        <v>161608000</v>
      </c>
      <c r="P568" s="121"/>
      <c r="Q568" s="121">
        <v>161608000</v>
      </c>
      <c r="R568" s="122">
        <f>T568-S568</f>
        <v>638480000</v>
      </c>
      <c r="S568" s="121"/>
      <c r="T568" s="121">
        <v>638480000</v>
      </c>
      <c r="U568" s="122">
        <f>W568-V568</f>
        <v>24564000</v>
      </c>
      <c r="V568" s="121"/>
      <c r="W568" s="121">
        <v>24564000</v>
      </c>
      <c r="X568" s="121"/>
      <c r="Y568" s="121"/>
      <c r="Z568" s="121"/>
      <c r="AA568" s="121"/>
      <c r="AB568" s="121"/>
      <c r="AC568" s="121"/>
      <c r="AD568" s="121"/>
      <c r="AE568" s="121"/>
      <c r="AF568" s="121"/>
      <c r="AG568" s="121"/>
      <c r="AH568" s="121"/>
      <c r="AI568" s="121"/>
      <c r="AJ568" s="121">
        <f t="shared" si="188"/>
        <v>3238640</v>
      </c>
      <c r="AK568" s="124">
        <f>818900*0.3</f>
        <v>245670</v>
      </c>
      <c r="AL568" s="54">
        <v>44504</v>
      </c>
      <c r="AM568" s="125">
        <v>583</v>
      </c>
      <c r="AN568" s="54">
        <f>2243*2550</f>
        <v>5719650</v>
      </c>
      <c r="AO568" s="125">
        <f t="shared" si="172"/>
        <v>1574100</v>
      </c>
      <c r="AP568" s="124"/>
      <c r="AQ568" s="101">
        <v>67976368156652</v>
      </c>
      <c r="AR568" s="100">
        <v>387384000000</v>
      </c>
      <c r="AS568" s="101">
        <v>31267175000</v>
      </c>
      <c r="AT568" s="105">
        <v>90130775000</v>
      </c>
      <c r="AU568" s="55">
        <v>26671232</v>
      </c>
      <c r="AV568" s="99">
        <v>9229137553.6000004</v>
      </c>
      <c r="AX568" s="74">
        <f t="shared" si="202"/>
        <v>1.3259133643664666E-3</v>
      </c>
    </row>
    <row r="569" spans="1:50" ht="15">
      <c r="A569" s="41">
        <v>44505</v>
      </c>
      <c r="B569" s="65">
        <v>42519660000</v>
      </c>
      <c r="C569" s="65"/>
      <c r="D569" s="141"/>
      <c r="E569" s="65"/>
      <c r="F569" s="65">
        <f t="shared" ref="F569:F573" si="218">SUM(B569:E569)</f>
        <v>42519660000</v>
      </c>
      <c r="G569" s="65">
        <f t="shared" si="205"/>
        <v>11480308</v>
      </c>
      <c r="H569" s="58">
        <f t="shared" ref="H569:H570" si="219">J569-I569</f>
        <v>1035298000</v>
      </c>
      <c r="I569" s="58"/>
      <c r="J569" s="58">
        <v>1035298000</v>
      </c>
      <c r="K569" s="58"/>
      <c r="L569" s="58">
        <f t="shared" ref="L569:L570" si="220">N569-M569</f>
        <v>3960077000</v>
      </c>
      <c r="M569" s="58"/>
      <c r="N569" s="58">
        <v>3960077000</v>
      </c>
      <c r="O569" s="58">
        <f t="shared" ref="O569:O570" si="221">Q569-P569</f>
        <v>87660000</v>
      </c>
      <c r="P569" s="58"/>
      <c r="Q569" s="58">
        <v>87660000</v>
      </c>
      <c r="R569" s="58">
        <f t="shared" ref="R569:R570" si="222">T569-S569</f>
        <v>613195000</v>
      </c>
      <c r="S569" s="58"/>
      <c r="T569" s="58">
        <v>613195000</v>
      </c>
      <c r="U569" s="58">
        <f t="shared" ref="U569:U570" si="223">W569-V569</f>
        <v>56728000</v>
      </c>
      <c r="V569" s="58"/>
      <c r="W569" s="58">
        <v>56728000</v>
      </c>
      <c r="X569" s="122"/>
      <c r="Y569" s="122"/>
      <c r="Z569" s="122"/>
      <c r="AA569" s="122"/>
      <c r="AB569" s="122"/>
      <c r="AC569" s="122"/>
      <c r="AD569" s="122"/>
      <c r="AE569" s="122"/>
      <c r="AF569" s="122"/>
      <c r="AG569" s="122"/>
      <c r="AH569" s="122"/>
      <c r="AI569" s="122"/>
      <c r="AJ569" s="121">
        <v>621321</v>
      </c>
      <c r="AK569" s="66">
        <f>342400*0.3</f>
        <v>102720</v>
      </c>
      <c r="AL569" s="54">
        <v>44505</v>
      </c>
      <c r="AM569" s="116">
        <v>338</v>
      </c>
      <c r="AN569" s="42">
        <f>2550*3*2379</f>
        <v>18199350</v>
      </c>
      <c r="AO569" s="125">
        <f t="shared" si="172"/>
        <v>912600</v>
      </c>
      <c r="AP569" s="135"/>
      <c r="AQ569" s="102">
        <v>64819660533224</v>
      </c>
      <c r="AR569" s="102">
        <v>43556902000</v>
      </c>
      <c r="AS569" s="102">
        <v>6405902000</v>
      </c>
      <c r="AT569" s="104">
        <v>48925562000</v>
      </c>
      <c r="AU569" s="55">
        <v>31316299</v>
      </c>
      <c r="AV569" s="99">
        <v>9260453852.6000004</v>
      </c>
      <c r="AX569" s="74">
        <f t="shared" ref="AX569:AX573" si="224">AT569/AQ569</f>
        <v>7.547950976220045E-4</v>
      </c>
    </row>
    <row r="570" spans="1:50" ht="15">
      <c r="A570" s="28">
        <v>44508</v>
      </c>
      <c r="B570" s="56">
        <v>36735195000</v>
      </c>
      <c r="C570" s="56"/>
      <c r="D570" s="56"/>
      <c r="E570" s="56"/>
      <c r="F570" s="65">
        <f t="shared" si="218"/>
        <v>36735195000</v>
      </c>
      <c r="G570" s="65">
        <f t="shared" si="205"/>
        <v>9918503</v>
      </c>
      <c r="H570" s="58">
        <f t="shared" si="219"/>
        <v>4115834000</v>
      </c>
      <c r="I570" s="57"/>
      <c r="J570" s="57">
        <v>4115834000</v>
      </c>
      <c r="K570" s="57"/>
      <c r="L570" s="58">
        <f t="shared" si="220"/>
        <v>6403745000</v>
      </c>
      <c r="M570" s="57"/>
      <c r="N570" s="57">
        <v>6403745000</v>
      </c>
      <c r="O570" s="58">
        <f t="shared" si="221"/>
        <v>3904753000</v>
      </c>
      <c r="P570" s="57"/>
      <c r="Q570" s="57">
        <v>3904753000</v>
      </c>
      <c r="R570" s="58">
        <f t="shared" si="222"/>
        <v>651405000</v>
      </c>
      <c r="S570" s="57"/>
      <c r="T570" s="57">
        <v>651405000</v>
      </c>
      <c r="U570" s="58">
        <f t="shared" si="223"/>
        <v>400836000</v>
      </c>
      <c r="V570" s="57"/>
      <c r="W570" s="57">
        <v>400836000</v>
      </c>
      <c r="X570" s="121"/>
      <c r="Y570" s="121"/>
      <c r="Z570" s="121"/>
      <c r="AA570" s="121"/>
      <c r="AB570" s="121"/>
      <c r="AC570" s="121"/>
      <c r="AD570" s="121"/>
      <c r="AE570" s="121"/>
      <c r="AF570" s="121"/>
      <c r="AG570" s="121"/>
      <c r="AH570" s="121"/>
      <c r="AI570" s="121"/>
      <c r="AJ570" s="121">
        <f t="shared" ref="AJ570:AJ595" si="225">ROUND(H570*0.0108%+I570*0.018%+K570*0.018%+L570*0.0108%+M570*0.018%+O570*0.0108%+P570*0.018%+R570*0.0108%+S570*0.018%+V570*0.018%+U570*0.0108%,0)</f>
        <v>1671470</v>
      </c>
      <c r="AK570" s="59">
        <f>596500*0.3</f>
        <v>178950</v>
      </c>
      <c r="AL570" s="54">
        <v>44508</v>
      </c>
      <c r="AM570" s="60">
        <v>375</v>
      </c>
      <c r="AN570" s="34">
        <f>2550*2378</f>
        <v>6063900</v>
      </c>
      <c r="AO570" s="125">
        <f t="shared" si="172"/>
        <v>1012500</v>
      </c>
      <c r="AP570" s="59"/>
      <c r="AQ570" s="100">
        <v>78652535777600</v>
      </c>
      <c r="AR570" s="100">
        <v>223679910000</v>
      </c>
      <c r="AS570" s="100">
        <v>16132031000</v>
      </c>
      <c r="AT570" s="103">
        <v>52867226000</v>
      </c>
      <c r="AU570" s="55">
        <v>18845323</v>
      </c>
      <c r="AV570" s="99">
        <v>9279299175.6000004</v>
      </c>
      <c r="AX570" s="74">
        <f t="shared" si="224"/>
        <v>6.7216174885306647E-4</v>
      </c>
    </row>
    <row r="571" spans="1:50" ht="15">
      <c r="A571" s="28">
        <v>44509</v>
      </c>
      <c r="B571" s="56">
        <v>66719290000</v>
      </c>
      <c r="C571" s="56"/>
      <c r="D571" s="56"/>
      <c r="E571" s="56"/>
      <c r="F571" s="65">
        <f t="shared" si="218"/>
        <v>66719290000</v>
      </c>
      <c r="G571" s="65">
        <f t="shared" si="205"/>
        <v>18014208</v>
      </c>
      <c r="H571" s="58">
        <f>J571-I571</f>
        <v>8155230000</v>
      </c>
      <c r="I571" s="57"/>
      <c r="J571" s="57">
        <v>8155230000</v>
      </c>
      <c r="K571" s="57"/>
      <c r="L571" s="58">
        <f>N571-M571</f>
        <v>6572106000</v>
      </c>
      <c r="M571" s="57"/>
      <c r="N571" s="57">
        <v>6572106000</v>
      </c>
      <c r="O571" s="58">
        <f>Q571-P571</f>
        <v>352917000</v>
      </c>
      <c r="P571" s="57"/>
      <c r="Q571" s="57">
        <v>352917000</v>
      </c>
      <c r="R571" s="58">
        <f>T571-S571</f>
        <v>809935000</v>
      </c>
      <c r="S571" s="57"/>
      <c r="T571" s="57">
        <v>809935000</v>
      </c>
      <c r="U571" s="58">
        <f>W571-V571</f>
        <v>404470000</v>
      </c>
      <c r="V571" s="57"/>
      <c r="W571" s="57">
        <v>404470000</v>
      </c>
      <c r="X571" s="121"/>
      <c r="Y571" s="121"/>
      <c r="Z571" s="121"/>
      <c r="AA571" s="121"/>
      <c r="AB571" s="121"/>
      <c r="AC571" s="121"/>
      <c r="AD571" s="121"/>
      <c r="AE571" s="121"/>
      <c r="AF571" s="121"/>
      <c r="AG571" s="121"/>
      <c r="AH571" s="121"/>
      <c r="AI571" s="121"/>
      <c r="AJ571" s="121">
        <f t="shared" si="225"/>
        <v>1759823</v>
      </c>
      <c r="AK571" s="59">
        <f>1679000*0.3</f>
        <v>503700</v>
      </c>
      <c r="AL571" s="54">
        <v>44509</v>
      </c>
      <c r="AM571" s="60">
        <v>552</v>
      </c>
      <c r="AN571" s="34">
        <f>2550*1836</f>
        <v>4681800</v>
      </c>
      <c r="AO571" s="125">
        <f t="shared" si="172"/>
        <v>1490400</v>
      </c>
      <c r="AP571" s="59"/>
      <c r="AQ571" s="100">
        <v>74760111622400</v>
      </c>
      <c r="AR571" s="100">
        <v>88159262000</v>
      </c>
      <c r="AS571" s="100">
        <v>16956753000</v>
      </c>
      <c r="AT571" s="103">
        <v>83676043000</v>
      </c>
      <c r="AU571" s="55">
        <v>26449931</v>
      </c>
      <c r="AV571" s="99">
        <v>9305749106.6000004</v>
      </c>
      <c r="AX571" s="74">
        <f t="shared" si="224"/>
        <v>1.1192605412714306E-3</v>
      </c>
    </row>
    <row r="572" spans="1:50" ht="15">
      <c r="A572" s="28">
        <v>44510</v>
      </c>
      <c r="B572" s="56">
        <v>34323575000</v>
      </c>
      <c r="C572" s="56"/>
      <c r="D572" s="56">
        <v>3987325000</v>
      </c>
      <c r="E572" s="56"/>
      <c r="F572" s="65">
        <f t="shared" si="218"/>
        <v>38310900000</v>
      </c>
      <c r="G572" s="65">
        <f t="shared" si="205"/>
        <v>10343943</v>
      </c>
      <c r="H572" s="58">
        <f>J572-I572</f>
        <v>3271610000</v>
      </c>
      <c r="I572" s="57"/>
      <c r="J572" s="57">
        <v>3271610000</v>
      </c>
      <c r="K572" s="57"/>
      <c r="L572" s="58">
        <f>N572-M572</f>
        <v>5722884000</v>
      </c>
      <c r="M572" s="57"/>
      <c r="N572" s="57">
        <v>5722884000</v>
      </c>
      <c r="O572" s="58">
        <f>Q572-P572</f>
        <v>1240936000</v>
      </c>
      <c r="P572" s="57"/>
      <c r="Q572" s="57">
        <v>1240936000</v>
      </c>
      <c r="R572" s="58">
        <f>T572-S572</f>
        <v>693598000</v>
      </c>
      <c r="S572" s="57"/>
      <c r="T572" s="57">
        <v>693598000</v>
      </c>
      <c r="U572" s="58">
        <f>W572-V572</f>
        <v>340965000</v>
      </c>
      <c r="V572" s="57"/>
      <c r="W572" s="57">
        <v>340965000</v>
      </c>
      <c r="X572" s="121"/>
      <c r="Y572" s="121"/>
      <c r="Z572" s="121"/>
      <c r="AA572" s="121"/>
      <c r="AB572" s="121"/>
      <c r="AC572" s="121"/>
      <c r="AD572" s="121"/>
      <c r="AE572" s="121"/>
      <c r="AF572" s="121"/>
      <c r="AG572" s="121"/>
      <c r="AH572" s="121"/>
      <c r="AI572" s="121"/>
      <c r="AJ572" s="121">
        <f t="shared" si="225"/>
        <v>1217159</v>
      </c>
      <c r="AK572" s="59">
        <f>190800*0.3</f>
        <v>57240</v>
      </c>
      <c r="AL572" s="54">
        <v>44510</v>
      </c>
      <c r="AM572" s="60">
        <v>312</v>
      </c>
      <c r="AN572" s="34">
        <f>2550*2058</f>
        <v>5247900</v>
      </c>
      <c r="AO572" s="125">
        <f t="shared" si="172"/>
        <v>842400</v>
      </c>
      <c r="AP572" s="59"/>
      <c r="AQ572" s="100">
        <v>73034607872114</v>
      </c>
      <c r="AR572" s="100">
        <v>52932000000</v>
      </c>
      <c r="AS572" s="100">
        <v>14531564000</v>
      </c>
      <c r="AT572" s="103">
        <v>52842464000</v>
      </c>
      <c r="AU572" s="55">
        <v>17708642</v>
      </c>
      <c r="AV572" s="99">
        <v>9323457748.6000004</v>
      </c>
      <c r="AX572" s="74">
        <f t="shared" si="224"/>
        <v>7.2352636016789317E-4</v>
      </c>
    </row>
    <row r="573" spans="1:50" ht="15">
      <c r="A573" s="28">
        <v>44511</v>
      </c>
      <c r="B573" s="118">
        <v>136768585000</v>
      </c>
      <c r="C573" s="118">
        <v>13305175000</v>
      </c>
      <c r="D573" s="118"/>
      <c r="E573" s="118"/>
      <c r="F573" s="120">
        <f t="shared" si="218"/>
        <v>150073760000</v>
      </c>
      <c r="G573" s="120">
        <f t="shared" si="205"/>
        <v>40519915</v>
      </c>
      <c r="H573" s="122">
        <f>J573-I573</f>
        <v>18454884000</v>
      </c>
      <c r="I573" s="121"/>
      <c r="J573" s="121">
        <v>18454884000</v>
      </c>
      <c r="K573" s="121"/>
      <c r="L573" s="122">
        <f>N573-M573</f>
        <v>8371826000</v>
      </c>
      <c r="M573" s="121"/>
      <c r="N573" s="121">
        <v>8371826000</v>
      </c>
      <c r="O573" s="122">
        <f>Q573-P573</f>
        <v>545878000</v>
      </c>
      <c r="P573" s="121">
        <v>2049000000</v>
      </c>
      <c r="Q573" s="121">
        <v>2594878000</v>
      </c>
      <c r="R573" s="122">
        <f>T573-S573</f>
        <v>863152000</v>
      </c>
      <c r="S573" s="121"/>
      <c r="T573" s="121">
        <v>863152000</v>
      </c>
      <c r="U573" s="122">
        <f>W573-V573</f>
        <v>327023000</v>
      </c>
      <c r="V573" s="121"/>
      <c r="W573" s="121">
        <v>327023000</v>
      </c>
      <c r="X573" s="121"/>
      <c r="Y573" s="121"/>
      <c r="Z573" s="121"/>
      <c r="AA573" s="121"/>
      <c r="AB573" s="121"/>
      <c r="AC573" s="121"/>
      <c r="AD573" s="121"/>
      <c r="AE573" s="121"/>
      <c r="AF573" s="121"/>
      <c r="AG573" s="121"/>
      <c r="AH573" s="121"/>
      <c r="AI573" s="121"/>
      <c r="AJ573" s="121">
        <f t="shared" si="225"/>
        <v>3453598</v>
      </c>
      <c r="AK573" s="124">
        <f>2085000*0.3</f>
        <v>625500</v>
      </c>
      <c r="AL573" s="54">
        <v>44511</v>
      </c>
      <c r="AM573" s="125">
        <v>1274</v>
      </c>
      <c r="AN573" s="54">
        <f>2550*1856</f>
        <v>4732800</v>
      </c>
      <c r="AO573" s="125">
        <f t="shared" si="172"/>
        <v>3439800</v>
      </c>
      <c r="AP573" s="124"/>
      <c r="AQ573" s="101">
        <v>92028841658600</v>
      </c>
      <c r="AR573" s="100">
        <v>121508000000</v>
      </c>
      <c r="AS573" s="101">
        <v>31518674000</v>
      </c>
      <c r="AT573" s="105">
        <v>181592434000</v>
      </c>
      <c r="AU573" s="55">
        <v>52771613</v>
      </c>
      <c r="AV573" s="99">
        <v>9376229361.6000004</v>
      </c>
      <c r="AX573" s="74">
        <f t="shared" si="224"/>
        <v>1.9732122096424365E-3</v>
      </c>
    </row>
    <row r="574" spans="1:50" ht="15">
      <c r="A574" s="28">
        <v>44512</v>
      </c>
      <c r="B574" s="65">
        <v>22027490000</v>
      </c>
      <c r="C574" s="65"/>
      <c r="D574" s="141"/>
      <c r="E574" s="65"/>
      <c r="F574" s="65">
        <f>SUM(B574:E574)</f>
        <v>22027490000</v>
      </c>
      <c r="G574" s="65">
        <f t="shared" si="205"/>
        <v>5947422</v>
      </c>
      <c r="H574" s="58">
        <f t="shared" ref="H574:H575" si="226">J574-I574</f>
        <v>12385216000</v>
      </c>
      <c r="I574" s="58">
        <v>2538000000</v>
      </c>
      <c r="J574" s="58">
        <v>14923216000</v>
      </c>
      <c r="K574" s="58"/>
      <c r="L574" s="58">
        <f t="shared" ref="L574:L575" si="227">N574-M574</f>
        <v>3179496000</v>
      </c>
      <c r="M574" s="58"/>
      <c r="N574" s="58">
        <v>3179496000</v>
      </c>
      <c r="O574" s="58">
        <f t="shared" ref="O574:O575" si="228">Q574-P574</f>
        <v>501462000</v>
      </c>
      <c r="P574" s="58"/>
      <c r="Q574" s="58">
        <v>501462000</v>
      </c>
      <c r="R574" s="58">
        <f t="shared" ref="R574:R575" si="229">T574-S574</f>
        <v>678591000</v>
      </c>
      <c r="S574" s="58"/>
      <c r="T574" s="58">
        <v>678591000</v>
      </c>
      <c r="U574" s="58">
        <f t="shared" ref="U574:U575" si="230">W574-V574</f>
        <v>184052000</v>
      </c>
      <c r="V574" s="58"/>
      <c r="W574" s="58">
        <v>184052000</v>
      </c>
      <c r="X574" s="122"/>
      <c r="Y574" s="122"/>
      <c r="Z574" s="122"/>
      <c r="AA574" s="122"/>
      <c r="AB574" s="122"/>
      <c r="AC574" s="122"/>
      <c r="AD574" s="122"/>
      <c r="AE574" s="122"/>
      <c r="AF574" s="122"/>
      <c r="AG574" s="122"/>
      <c r="AH574" s="122"/>
      <c r="AI574" s="122"/>
      <c r="AJ574" s="121">
        <f t="shared" si="225"/>
        <v>2285152</v>
      </c>
      <c r="AK574" s="66">
        <f>409000*0.3</f>
        <v>122700</v>
      </c>
      <c r="AL574" s="54">
        <v>44512</v>
      </c>
      <c r="AM574" s="116">
        <v>428</v>
      </c>
      <c r="AN574" s="42">
        <f>2550*3*1924</f>
        <v>14718600</v>
      </c>
      <c r="AO574" s="125">
        <f t="shared" si="172"/>
        <v>1155600</v>
      </c>
      <c r="AP574" s="135"/>
      <c r="AQ574" s="102">
        <v>69148441848186</v>
      </c>
      <c r="AR574" s="102">
        <v>111840862000</v>
      </c>
      <c r="AS574" s="102">
        <v>22615524000</v>
      </c>
      <c r="AT574" s="104">
        <v>44643014000</v>
      </c>
      <c r="AU574" s="55">
        <v>24229474</v>
      </c>
      <c r="AV574" s="99">
        <v>9400458835.6000004</v>
      </c>
      <c r="AX574" s="74">
        <f t="shared" ref="AX574:AX588" si="231">AT574/AQ574</f>
        <v>6.4561127925359229E-4</v>
      </c>
    </row>
    <row r="575" spans="1:50" ht="15">
      <c r="A575" s="28">
        <v>44515</v>
      </c>
      <c r="B575" s="56">
        <v>61658730000</v>
      </c>
      <c r="C575" s="56"/>
      <c r="D575" s="56"/>
      <c r="E575" s="56"/>
      <c r="F575" s="65">
        <f t="shared" ref="F575:F578" si="232">SUM(B575:E575)</f>
        <v>61658730000</v>
      </c>
      <c r="G575" s="65">
        <f t="shared" si="205"/>
        <v>16647857</v>
      </c>
      <c r="H575" s="58">
        <f t="shared" si="226"/>
        <v>10318132000</v>
      </c>
      <c r="I575" s="57"/>
      <c r="J575" s="57">
        <v>10318132000</v>
      </c>
      <c r="K575" s="57"/>
      <c r="L575" s="58">
        <f t="shared" si="227"/>
        <v>12058177000</v>
      </c>
      <c r="M575" s="57"/>
      <c r="N575" s="57">
        <v>12058177000</v>
      </c>
      <c r="O575" s="58">
        <f t="shared" si="228"/>
        <v>257246000</v>
      </c>
      <c r="P575" s="57"/>
      <c r="Q575" s="57">
        <v>257246000</v>
      </c>
      <c r="R575" s="58">
        <f t="shared" si="229"/>
        <v>726253000</v>
      </c>
      <c r="S575" s="57"/>
      <c r="T575" s="57">
        <v>726253000</v>
      </c>
      <c r="U575" s="58">
        <f t="shared" si="230"/>
        <v>35958000</v>
      </c>
      <c r="V575" s="57"/>
      <c r="W575" s="57">
        <v>35958000</v>
      </c>
      <c r="X575" s="121"/>
      <c r="Y575" s="121"/>
      <c r="Z575" s="121"/>
      <c r="AA575" s="121"/>
      <c r="AB575" s="121"/>
      <c r="AC575" s="121"/>
      <c r="AD575" s="121"/>
      <c r="AE575" s="121"/>
      <c r="AF575" s="121"/>
      <c r="AG575" s="121"/>
      <c r="AH575" s="121"/>
      <c r="AI575" s="121"/>
      <c r="AJ575" s="121">
        <f t="shared" si="225"/>
        <v>2526743</v>
      </c>
      <c r="AK575" s="59">
        <f>1431300*0.3</f>
        <v>429390</v>
      </c>
      <c r="AL575" s="54">
        <v>44515</v>
      </c>
      <c r="AM575" s="60">
        <v>1620</v>
      </c>
      <c r="AN575" s="34">
        <f>2550*1620</f>
        <v>4131000</v>
      </c>
      <c r="AO575" s="125">
        <f t="shared" si="172"/>
        <v>4374000</v>
      </c>
      <c r="AP575" s="59"/>
      <c r="AQ575" s="100">
        <v>85908239627100</v>
      </c>
      <c r="AR575" s="100">
        <v>446506280000</v>
      </c>
      <c r="AS575" s="100">
        <v>23992477000</v>
      </c>
      <c r="AT575" s="103">
        <v>85651207000</v>
      </c>
      <c r="AU575" s="55">
        <v>28108990</v>
      </c>
      <c r="AV575" s="99">
        <v>9428567825.6000004</v>
      </c>
      <c r="AX575" s="74">
        <f t="shared" si="231"/>
        <v>9.9700805617463826E-4</v>
      </c>
    </row>
    <row r="576" spans="1:50" ht="15">
      <c r="A576" s="28">
        <v>44516</v>
      </c>
      <c r="B576" s="56">
        <v>95091185000</v>
      </c>
      <c r="C576" s="56"/>
      <c r="D576" s="56"/>
      <c r="E576" s="56"/>
      <c r="F576" s="65">
        <f t="shared" si="232"/>
        <v>95091185000</v>
      </c>
      <c r="G576" s="65">
        <f t="shared" si="205"/>
        <v>25674620</v>
      </c>
      <c r="H576" s="58">
        <f>J576-I576</f>
        <v>14275558000</v>
      </c>
      <c r="I576" s="57"/>
      <c r="J576" s="57">
        <v>14275558000</v>
      </c>
      <c r="K576" s="57"/>
      <c r="L576" s="58">
        <f>N576-M576</f>
        <v>23726460000</v>
      </c>
      <c r="M576" s="57"/>
      <c r="N576" s="57">
        <v>23726460000</v>
      </c>
      <c r="O576" s="58">
        <f>Q576-P576</f>
        <v>504178000</v>
      </c>
      <c r="P576" s="57"/>
      <c r="Q576" s="57">
        <v>504178000</v>
      </c>
      <c r="R576" s="58">
        <f>T576-S576</f>
        <v>731050000</v>
      </c>
      <c r="S576" s="57"/>
      <c r="T576" s="57">
        <v>731050000</v>
      </c>
      <c r="U576" s="58">
        <f>W576-V576</f>
        <v>222088000</v>
      </c>
      <c r="V576" s="57"/>
      <c r="W576" s="57">
        <v>222088000</v>
      </c>
      <c r="X576" s="121"/>
      <c r="Y576" s="121"/>
      <c r="Z576" s="121"/>
      <c r="AA576" s="121"/>
      <c r="AB576" s="121"/>
      <c r="AC576" s="121"/>
      <c r="AD576" s="121"/>
      <c r="AE576" s="121"/>
      <c r="AF576" s="121"/>
      <c r="AG576" s="121"/>
      <c r="AH576" s="121"/>
      <c r="AI576" s="121"/>
      <c r="AJ576" s="121">
        <f t="shared" si="225"/>
        <v>4261608</v>
      </c>
      <c r="AK576" s="59">
        <f>1785800*0.3</f>
        <v>535740</v>
      </c>
      <c r="AL576" s="54">
        <v>44516</v>
      </c>
      <c r="AM576" s="60">
        <v>1489</v>
      </c>
      <c r="AN576" s="34">
        <f>2550*1439</f>
        <v>3669450</v>
      </c>
      <c r="AO576" s="125">
        <f t="shared" si="172"/>
        <v>4020300</v>
      </c>
      <c r="AP576" s="59"/>
      <c r="AQ576" s="100">
        <v>84917291628400</v>
      </c>
      <c r="AR576" s="100">
        <v>711113694000</v>
      </c>
      <c r="AS576" s="100">
        <v>40328236000</v>
      </c>
      <c r="AT576" s="103">
        <v>135419421000</v>
      </c>
      <c r="AU576" s="55">
        <v>38161718</v>
      </c>
      <c r="AV576" s="99">
        <v>9466729543.6000004</v>
      </c>
      <c r="AX576" s="74">
        <f t="shared" si="231"/>
        <v>1.5947213859881268E-3</v>
      </c>
    </row>
    <row r="577" spans="1:50" ht="15">
      <c r="A577" s="28">
        <v>44517</v>
      </c>
      <c r="B577" s="56">
        <v>42908175000</v>
      </c>
      <c r="C577" s="56">
        <v>2858010000</v>
      </c>
      <c r="D577" s="56"/>
      <c r="E577" s="56"/>
      <c r="F577" s="65">
        <f t="shared" si="232"/>
        <v>45766185000</v>
      </c>
      <c r="G577" s="65">
        <f t="shared" si="205"/>
        <v>12356870</v>
      </c>
      <c r="H577" s="58">
        <f>J577-I577</f>
        <v>1672683000</v>
      </c>
      <c r="I577" s="57">
        <v>93606100000</v>
      </c>
      <c r="J577" s="57">
        <v>95278783000</v>
      </c>
      <c r="K577" s="57"/>
      <c r="L577" s="58">
        <f>N577-M577</f>
        <v>12747738000</v>
      </c>
      <c r="M577" s="57"/>
      <c r="N577" s="57">
        <v>12747738000</v>
      </c>
      <c r="O577" s="58">
        <f>Q577-P577</f>
        <v>291800000</v>
      </c>
      <c r="P577" s="57"/>
      <c r="Q577" s="57">
        <v>291800000</v>
      </c>
      <c r="R577" s="58">
        <f>T577-S577</f>
        <v>753212000</v>
      </c>
      <c r="S577" s="57"/>
      <c r="T577" s="57">
        <v>753212000</v>
      </c>
      <c r="U577" s="58">
        <f>W577-V577</f>
        <v>37577000</v>
      </c>
      <c r="V577" s="57"/>
      <c r="W577" s="57">
        <v>37577000</v>
      </c>
      <c r="X577" s="121"/>
      <c r="Y577" s="121"/>
      <c r="Z577" s="121"/>
      <c r="AA577" s="121"/>
      <c r="AB577" s="121"/>
      <c r="AC577" s="121"/>
      <c r="AD577" s="121"/>
      <c r="AE577" s="121"/>
      <c r="AF577" s="121"/>
      <c r="AG577" s="121"/>
      <c r="AH577" s="121"/>
      <c r="AI577" s="121"/>
      <c r="AJ577" s="121">
        <f t="shared" si="225"/>
        <v>18523423</v>
      </c>
      <c r="AK577" s="59">
        <f>409800*0.3</f>
        <v>122940</v>
      </c>
      <c r="AL577" s="54">
        <v>44517</v>
      </c>
      <c r="AM577" s="60">
        <v>2301</v>
      </c>
      <c r="AN577" s="34">
        <f>2550*2188</f>
        <v>5579400</v>
      </c>
      <c r="AO577" s="125">
        <f t="shared" si="172"/>
        <v>6212700</v>
      </c>
      <c r="AP577" s="59"/>
      <c r="AQ577" s="100">
        <v>65612940146000</v>
      </c>
      <c r="AR577" s="100">
        <v>487605878000</v>
      </c>
      <c r="AS577" s="100">
        <v>203303360000</v>
      </c>
      <c r="AT577" s="103">
        <v>249069545000</v>
      </c>
      <c r="AU577" s="55">
        <v>42795333</v>
      </c>
      <c r="AV577" s="99">
        <v>9509524876.6000004</v>
      </c>
      <c r="AX577" s="74">
        <f t="shared" si="231"/>
        <v>3.796043043426765E-3</v>
      </c>
    </row>
    <row r="578" spans="1:50" ht="15">
      <c r="A578" s="28">
        <v>44518</v>
      </c>
      <c r="B578" s="118">
        <v>33970430000</v>
      </c>
      <c r="C578" s="118"/>
      <c r="D578" s="118"/>
      <c r="E578" s="118"/>
      <c r="F578" s="120">
        <f t="shared" si="232"/>
        <v>33970430000</v>
      </c>
      <c r="G578" s="120">
        <f t="shared" si="205"/>
        <v>9172016</v>
      </c>
      <c r="H578" s="122">
        <f>J578-I578</f>
        <v>10179994000</v>
      </c>
      <c r="I578" s="121">
        <v>17804000000</v>
      </c>
      <c r="J578" s="121">
        <v>27983994000</v>
      </c>
      <c r="K578" s="121"/>
      <c r="L578" s="122">
        <f>N578-M578</f>
        <v>23701442000</v>
      </c>
      <c r="M578" s="121"/>
      <c r="N578" s="121">
        <v>23701442000</v>
      </c>
      <c r="O578" s="122">
        <f>Q578-P578</f>
        <v>275460000</v>
      </c>
      <c r="P578" s="121"/>
      <c r="Q578" s="121">
        <v>275460000</v>
      </c>
      <c r="R578" s="122">
        <f>T578-S578</f>
        <v>677485000</v>
      </c>
      <c r="S578" s="121"/>
      <c r="T578" s="121">
        <v>677485000</v>
      </c>
      <c r="U578" s="122">
        <f>W578-V578</f>
        <v>231619000</v>
      </c>
      <c r="V578" s="121"/>
      <c r="W578" s="121">
        <v>231619000</v>
      </c>
      <c r="X578" s="121"/>
      <c r="Y578" s="121"/>
      <c r="Z578" s="121"/>
      <c r="AA578" s="121"/>
      <c r="AB578" s="121"/>
      <c r="AC578" s="121"/>
      <c r="AD578" s="121"/>
      <c r="AE578" s="121"/>
      <c r="AF578" s="121"/>
      <c r="AG578" s="121"/>
      <c r="AH578" s="121"/>
      <c r="AI578" s="121"/>
      <c r="AJ578" s="121">
        <f t="shared" si="225"/>
        <v>6991848</v>
      </c>
      <c r="AK578" s="124">
        <f>1682900*0.3</f>
        <v>504870</v>
      </c>
      <c r="AL578" s="54">
        <v>44518</v>
      </c>
      <c r="AM578" s="125">
        <v>1570</v>
      </c>
      <c r="AN578" s="54">
        <v>5625300</v>
      </c>
      <c r="AO578" s="125">
        <f t="shared" si="172"/>
        <v>4239000</v>
      </c>
      <c r="AP578" s="124"/>
      <c r="AQ578" s="101">
        <v>85680825430320</v>
      </c>
      <c r="AR578" s="100">
        <v>151907366000</v>
      </c>
      <c r="AS578" s="101">
        <v>58612686000</v>
      </c>
      <c r="AT578" s="105">
        <v>92583116000</v>
      </c>
      <c r="AU578" s="55">
        <v>26533034</v>
      </c>
      <c r="AV578" s="99">
        <v>9536057910.6000004</v>
      </c>
      <c r="AX578" s="74">
        <f t="shared" si="231"/>
        <v>1.0805581708044269E-3</v>
      </c>
    </row>
    <row r="579" spans="1:50" ht="15">
      <c r="A579" s="28">
        <v>44519</v>
      </c>
      <c r="B579" s="65">
        <v>87929735000</v>
      </c>
      <c r="C579" s="65">
        <v>3072670000</v>
      </c>
      <c r="D579" s="141"/>
      <c r="E579" s="65"/>
      <c r="F579" s="65">
        <f>SUM(B579:E579)</f>
        <v>91002405000</v>
      </c>
      <c r="G579" s="65">
        <f t="shared" si="205"/>
        <v>24570649</v>
      </c>
      <c r="H579" s="58">
        <f t="shared" ref="H579:H580" si="233">J579-I579</f>
        <v>11580473000</v>
      </c>
      <c r="I579" s="58">
        <v>17555000000</v>
      </c>
      <c r="J579" s="58">
        <v>29135473000</v>
      </c>
      <c r="K579" s="58"/>
      <c r="L579" s="58">
        <f t="shared" ref="L579:L580" si="234">N579-M579</f>
        <v>21606556000</v>
      </c>
      <c r="M579" s="58"/>
      <c r="N579" s="58">
        <v>21606556000</v>
      </c>
      <c r="O579" s="58">
        <f t="shared" ref="O579:O580" si="235">Q579-P579</f>
        <v>761327000</v>
      </c>
      <c r="P579" s="58"/>
      <c r="Q579" s="58">
        <v>761327000</v>
      </c>
      <c r="R579" s="58">
        <f t="shared" ref="R579:R580" si="236">T579-S579</f>
        <v>794072000</v>
      </c>
      <c r="S579" s="58"/>
      <c r="T579" s="58">
        <v>794072000</v>
      </c>
      <c r="U579" s="58">
        <f t="shared" ref="U579:U580" si="237">W579-V579</f>
        <v>200466000</v>
      </c>
      <c r="V579" s="58"/>
      <c r="W579" s="58">
        <v>200466000</v>
      </c>
      <c r="X579" s="122"/>
      <c r="Y579" s="122"/>
      <c r="Z579" s="122"/>
      <c r="AA579" s="122"/>
      <c r="AB579" s="122"/>
      <c r="AC579" s="122"/>
      <c r="AD579" s="122"/>
      <c r="AE579" s="122"/>
      <c r="AF579" s="122"/>
      <c r="AG579" s="122"/>
      <c r="AH579" s="122"/>
      <c r="AI579" s="122"/>
      <c r="AJ579" s="121">
        <f t="shared" si="225"/>
        <v>6933733</v>
      </c>
      <c r="AK579" s="66">
        <f>1358500*0.3</f>
        <v>407550</v>
      </c>
      <c r="AL579" s="54">
        <v>44519</v>
      </c>
      <c r="AM579" s="116">
        <v>761</v>
      </c>
      <c r="AN579" s="42">
        <f>2550*3*2313</f>
        <v>17694450</v>
      </c>
      <c r="AO579" s="125">
        <f t="shared" si="172"/>
        <v>2054700</v>
      </c>
      <c r="AP579" s="135"/>
      <c r="AQ579" s="102">
        <v>113095616627200</v>
      </c>
      <c r="AR579" s="102">
        <v>170502350000</v>
      </c>
      <c r="AS579" s="102">
        <v>68350540000</v>
      </c>
      <c r="AT579" s="104">
        <v>159352945000</v>
      </c>
      <c r="AU579" s="55">
        <v>51661082</v>
      </c>
      <c r="AV579" s="99">
        <v>9587718992.6000004</v>
      </c>
      <c r="AX579" s="74">
        <f t="shared" si="231"/>
        <v>1.4090107976976617E-3</v>
      </c>
    </row>
    <row r="580" spans="1:50" ht="15">
      <c r="A580" s="28">
        <v>44522</v>
      </c>
      <c r="B580" s="56">
        <v>82534915000</v>
      </c>
      <c r="C580" s="56">
        <v>22363920000</v>
      </c>
      <c r="D580" s="56"/>
      <c r="E580" s="56"/>
      <c r="F580" s="65">
        <f t="shared" ref="F580:F583" si="238">SUM(B580:E580)</f>
        <v>104898835000</v>
      </c>
      <c r="G580" s="65">
        <f t="shared" si="205"/>
        <v>28322685</v>
      </c>
      <c r="H580" s="58">
        <f t="shared" si="233"/>
        <v>6586117000</v>
      </c>
      <c r="I580" s="57">
        <v>43285400000</v>
      </c>
      <c r="J580" s="57">
        <v>49871517000</v>
      </c>
      <c r="K580" s="57"/>
      <c r="L580" s="58">
        <f t="shared" si="234"/>
        <v>16454839000</v>
      </c>
      <c r="M580" s="57"/>
      <c r="N580" s="57">
        <v>16454839000</v>
      </c>
      <c r="O580" s="58">
        <f t="shared" si="235"/>
        <v>1209366000</v>
      </c>
      <c r="P580" s="57"/>
      <c r="Q580" s="57">
        <v>1209366000</v>
      </c>
      <c r="R580" s="58">
        <f t="shared" si="236"/>
        <v>701584000</v>
      </c>
      <c r="S580" s="57"/>
      <c r="T580" s="57">
        <v>701584000</v>
      </c>
      <c r="U580" s="58">
        <f t="shared" si="237"/>
        <v>688724000</v>
      </c>
      <c r="V580" s="57"/>
      <c r="W580" s="57">
        <v>688724000</v>
      </c>
      <c r="X580" s="121"/>
      <c r="Y580" s="121"/>
      <c r="Z580" s="121"/>
      <c r="AA580" s="121"/>
      <c r="AB580" s="121"/>
      <c r="AC580" s="121"/>
      <c r="AD580" s="121"/>
      <c r="AE580" s="121"/>
      <c r="AF580" s="121"/>
      <c r="AG580" s="121"/>
      <c r="AH580" s="121"/>
      <c r="AI580" s="121"/>
      <c r="AJ580" s="121">
        <f t="shared" si="225"/>
        <v>10560560</v>
      </c>
      <c r="AK580" s="59">
        <f>2027100*0.3</f>
        <v>608130</v>
      </c>
      <c r="AL580" s="54">
        <v>44522</v>
      </c>
      <c r="AM580" s="60">
        <v>1042</v>
      </c>
      <c r="AN580" s="34">
        <f>2550*1667</f>
        <v>4250850</v>
      </c>
      <c r="AO580" s="125">
        <f t="shared" si="172"/>
        <v>2813400</v>
      </c>
      <c r="AP580" s="59"/>
      <c r="AQ580" s="100">
        <v>91336981882400</v>
      </c>
      <c r="AR580" s="100">
        <v>204953512000</v>
      </c>
      <c r="AS580" s="100">
        <v>112826510000</v>
      </c>
      <c r="AT580" s="103">
        <v>217725345000</v>
      </c>
      <c r="AU580" s="55">
        <v>46555625</v>
      </c>
      <c r="AV580" s="99">
        <v>9634274617.6000004</v>
      </c>
      <c r="AX580" s="74">
        <f t="shared" si="231"/>
        <v>2.3837589168463004E-3</v>
      </c>
    </row>
    <row r="581" spans="1:50" ht="15">
      <c r="A581" s="28">
        <v>44523</v>
      </c>
      <c r="B581" s="56">
        <v>32875435000</v>
      </c>
      <c r="C581" s="56"/>
      <c r="D581" s="56"/>
      <c r="E581" s="56"/>
      <c r="F581" s="65">
        <f t="shared" si="238"/>
        <v>32875435000</v>
      </c>
      <c r="G581" s="65">
        <f t="shared" si="205"/>
        <v>8876367</v>
      </c>
      <c r="H581" s="58">
        <f>J581-I581</f>
        <v>0</v>
      </c>
      <c r="I581" s="57">
        <v>0</v>
      </c>
      <c r="J581" s="57">
        <v>0</v>
      </c>
      <c r="K581" s="57"/>
      <c r="L581" s="58">
        <f>N581-M581</f>
        <v>13266629000</v>
      </c>
      <c r="M581" s="57"/>
      <c r="N581" s="57">
        <v>13266629000</v>
      </c>
      <c r="O581" s="58">
        <f>Q581-P581</f>
        <v>761538000</v>
      </c>
      <c r="P581" s="57"/>
      <c r="Q581" s="57">
        <v>761538000</v>
      </c>
      <c r="R581" s="58">
        <f>T581-S581</f>
        <v>1180474000</v>
      </c>
      <c r="S581" s="57"/>
      <c r="T581" s="57">
        <v>1180474000</v>
      </c>
      <c r="U581" s="58">
        <f>W581-V581</f>
        <v>67333000</v>
      </c>
      <c r="V581" s="57"/>
      <c r="W581" s="57">
        <v>67333000</v>
      </c>
      <c r="X581" s="121"/>
      <c r="Y581" s="121"/>
      <c r="Z581" s="121"/>
      <c r="AA581" s="121"/>
      <c r="AB581" s="121"/>
      <c r="AC581" s="121"/>
      <c r="AD581" s="121"/>
      <c r="AE581" s="121"/>
      <c r="AF581" s="121"/>
      <c r="AG581" s="121"/>
      <c r="AH581" s="121"/>
      <c r="AI581" s="121"/>
      <c r="AJ581" s="121">
        <f t="shared" si="225"/>
        <v>1649805</v>
      </c>
      <c r="AK581" s="59">
        <f>917700*0.3</f>
        <v>275310</v>
      </c>
      <c r="AL581" s="54">
        <v>44523</v>
      </c>
      <c r="AM581" s="60">
        <v>453</v>
      </c>
      <c r="AN581" s="34">
        <f>2550*1612</f>
        <v>4110600</v>
      </c>
      <c r="AO581" s="125">
        <f t="shared" si="172"/>
        <v>1223100</v>
      </c>
      <c r="AP581" s="59"/>
      <c r="AQ581" s="100">
        <v>64013501581200</v>
      </c>
      <c r="AR581" s="100">
        <v>217111770000</v>
      </c>
      <c r="AS581" s="100">
        <v>16967173000</v>
      </c>
      <c r="AT581" s="103">
        <v>49842608000</v>
      </c>
      <c r="AU581" s="55">
        <v>16135182</v>
      </c>
      <c r="AV581" s="99">
        <v>9650409799.6000004</v>
      </c>
      <c r="AX581" s="74">
        <f t="shared" si="231"/>
        <v>7.7862648923798566E-4</v>
      </c>
    </row>
    <row r="582" spans="1:50" ht="15">
      <c r="A582" s="28">
        <v>44524</v>
      </c>
      <c r="B582" s="56">
        <v>71573960000</v>
      </c>
      <c r="C582" s="56">
        <v>8699325000</v>
      </c>
      <c r="D582" s="56"/>
      <c r="E582" s="56"/>
      <c r="F582" s="65">
        <f t="shared" si="238"/>
        <v>80273285000</v>
      </c>
      <c r="G582" s="65">
        <f t="shared" si="205"/>
        <v>21673787</v>
      </c>
      <c r="H582" s="58">
        <f>J582-I582</f>
        <v>14421739000</v>
      </c>
      <c r="I582" s="57">
        <v>36590000000</v>
      </c>
      <c r="J582" s="57">
        <v>51011739000</v>
      </c>
      <c r="K582" s="57"/>
      <c r="L582" s="58">
        <f>N582-M582</f>
        <v>16987783000</v>
      </c>
      <c r="M582" s="57"/>
      <c r="N582" s="57">
        <v>16987783000</v>
      </c>
      <c r="O582" s="58">
        <f>Q582-P582</f>
        <v>1744734000</v>
      </c>
      <c r="P582" s="57"/>
      <c r="Q582" s="57">
        <v>1744734000</v>
      </c>
      <c r="R582" s="58">
        <f>T582-S582</f>
        <v>703056000</v>
      </c>
      <c r="S582" s="57"/>
      <c r="T582" s="57">
        <v>703056000</v>
      </c>
      <c r="U582" s="58">
        <f>W582-V582</f>
        <v>260970000</v>
      </c>
      <c r="V582" s="57"/>
      <c r="W582" s="57">
        <v>260970000</v>
      </c>
      <c r="X582" s="121"/>
      <c r="Y582" s="121"/>
      <c r="Z582" s="121"/>
      <c r="AA582" s="121"/>
      <c r="AB582" s="121"/>
      <c r="AC582" s="121"/>
      <c r="AD582" s="121"/>
      <c r="AE582" s="121"/>
      <c r="AF582" s="121"/>
      <c r="AG582" s="121"/>
      <c r="AH582" s="121"/>
      <c r="AI582" s="121"/>
      <c r="AJ582" s="121">
        <f t="shared" si="225"/>
        <v>10270974</v>
      </c>
      <c r="AK582" s="59">
        <f>1343700*0.3</f>
        <v>403110</v>
      </c>
      <c r="AL582" s="54">
        <v>44524</v>
      </c>
      <c r="AM582" s="60">
        <v>690</v>
      </c>
      <c r="AN582" s="34">
        <f>2550*1610</f>
        <v>4105500</v>
      </c>
      <c r="AO582" s="125">
        <f t="shared" si="172"/>
        <v>1863000</v>
      </c>
      <c r="AP582" s="59"/>
      <c r="AQ582" s="100">
        <v>85829902128080</v>
      </c>
      <c r="AR582" s="100">
        <v>389929018000</v>
      </c>
      <c r="AS582" s="100">
        <v>82626556000</v>
      </c>
      <c r="AT582" s="103">
        <v>162899841000</v>
      </c>
      <c r="AU582" s="55">
        <v>38316371</v>
      </c>
      <c r="AV582" s="99">
        <v>9688726170.6000004</v>
      </c>
      <c r="AX582" s="74">
        <f t="shared" si="231"/>
        <v>1.8979380957106545E-3</v>
      </c>
    </row>
    <row r="583" spans="1:50" ht="15">
      <c r="A583" s="28">
        <v>44525</v>
      </c>
      <c r="B583" s="118">
        <v>68715510000</v>
      </c>
      <c r="C583" s="118">
        <v>8771255000</v>
      </c>
      <c r="D583" s="118"/>
      <c r="E583" s="118"/>
      <c r="F583" s="120">
        <f t="shared" si="238"/>
        <v>77486765000</v>
      </c>
      <c r="G583" s="120">
        <f t="shared" si="205"/>
        <v>20921427</v>
      </c>
      <c r="H583" s="122">
        <f>J583-I583</f>
        <v>13553052000</v>
      </c>
      <c r="I583" s="121">
        <v>10574000000</v>
      </c>
      <c r="J583" s="121">
        <v>24127052000</v>
      </c>
      <c r="K583" s="121"/>
      <c r="L583" s="122">
        <f>N583-M583</f>
        <v>15482883000</v>
      </c>
      <c r="M583" s="121"/>
      <c r="N583" s="121">
        <v>15482883000</v>
      </c>
      <c r="O583" s="122">
        <f>Q583-P583</f>
        <v>3169380000</v>
      </c>
      <c r="P583" s="121"/>
      <c r="Q583" s="121">
        <v>3169380000</v>
      </c>
      <c r="R583" s="122">
        <f>T583-S583</f>
        <v>730553000</v>
      </c>
      <c r="S583" s="121"/>
      <c r="T583" s="121">
        <v>730553000</v>
      </c>
      <c r="U583" s="122">
        <f>W583-V583</f>
        <v>305154000</v>
      </c>
      <c r="V583" s="121"/>
      <c r="W583" s="121">
        <v>305154000</v>
      </c>
      <c r="X583" s="121"/>
      <c r="Y583" s="121"/>
      <c r="Z583" s="121"/>
      <c r="AA583" s="121"/>
      <c r="AB583" s="121"/>
      <c r="AC583" s="121"/>
      <c r="AD583" s="121"/>
      <c r="AE583" s="121"/>
      <c r="AF583" s="121"/>
      <c r="AG583" s="121"/>
      <c r="AH583" s="121"/>
      <c r="AI583" s="121"/>
      <c r="AJ583" s="121">
        <f t="shared" si="225"/>
        <v>5493350</v>
      </c>
      <c r="AK583" s="124">
        <f>985700*0.3+243200*0.3</f>
        <v>368670</v>
      </c>
      <c r="AL583" s="54">
        <v>44525</v>
      </c>
      <c r="AM583" s="125">
        <f>637</f>
        <v>637</v>
      </c>
      <c r="AN583" s="54">
        <f>2550*1601</f>
        <v>4082550</v>
      </c>
      <c r="AO583" s="125">
        <f t="shared" si="172"/>
        <v>1719900</v>
      </c>
      <c r="AP583" s="124"/>
      <c r="AQ583" s="101">
        <v>75027072761660</v>
      </c>
      <c r="AR583" s="100">
        <v>248118020000</v>
      </c>
      <c r="AS583" s="101">
        <v>55027653000</v>
      </c>
      <c r="AT583" s="105">
        <v>132514418000</v>
      </c>
      <c r="AU583" s="55">
        <v>32585897</v>
      </c>
      <c r="AV583" s="99">
        <v>9721312067.6000004</v>
      </c>
      <c r="AX583" s="74">
        <f t="shared" si="231"/>
        <v>1.7662213534701159E-3</v>
      </c>
    </row>
    <row r="584" spans="1:50" ht="15">
      <c r="A584" s="28">
        <v>44526</v>
      </c>
      <c r="B584" s="65">
        <v>28257110000</v>
      </c>
      <c r="C584" s="65">
        <v>12958850000</v>
      </c>
      <c r="D584" s="141"/>
      <c r="E584" s="65"/>
      <c r="F584" s="65">
        <f>SUM(B584:E584)</f>
        <v>41215960000</v>
      </c>
      <c r="G584" s="65">
        <f t="shared" si="205"/>
        <v>11128309</v>
      </c>
      <c r="H584" s="58">
        <f t="shared" ref="H584:H585" si="239">J584-I584</f>
        <v>10540145000</v>
      </c>
      <c r="I584" s="58">
        <v>21240000000</v>
      </c>
      <c r="J584" s="58">
        <v>31780145000</v>
      </c>
      <c r="K584" s="58"/>
      <c r="L584" s="58">
        <f t="shared" ref="L584:L585" si="240">N584-M584</f>
        <v>4144087000</v>
      </c>
      <c r="M584" s="58"/>
      <c r="N584" s="58">
        <v>4144087000</v>
      </c>
      <c r="O584" s="58">
        <f t="shared" ref="O584:O585" si="241">Q584-P584</f>
        <v>3220483000</v>
      </c>
      <c r="P584" s="58"/>
      <c r="Q584" s="58">
        <v>3220483000</v>
      </c>
      <c r="R584" s="58">
        <f t="shared" ref="R584:R585" si="242">T584-S584</f>
        <v>1261751000</v>
      </c>
      <c r="S584" s="58"/>
      <c r="T584" s="58">
        <v>1261751000</v>
      </c>
      <c r="U584" s="58">
        <f t="shared" ref="U584:U585" si="243">W584-V584</f>
        <v>295636000</v>
      </c>
      <c r="V584" s="58"/>
      <c r="W584" s="58">
        <v>295636000</v>
      </c>
      <c r="X584" s="122"/>
      <c r="Y584" s="122"/>
      <c r="Z584" s="122"/>
      <c r="AA584" s="122"/>
      <c r="AB584" s="122"/>
      <c r="AC584" s="122"/>
      <c r="AD584" s="122"/>
      <c r="AE584" s="122"/>
      <c r="AF584" s="122"/>
      <c r="AG584" s="122"/>
      <c r="AH584" s="122"/>
      <c r="AI584" s="122"/>
      <c r="AJ584" s="121">
        <f t="shared" si="225"/>
        <v>5925107</v>
      </c>
      <c r="AK584" s="66">
        <f>898100*0.3</f>
        <v>269430</v>
      </c>
      <c r="AL584" s="54">
        <v>44526</v>
      </c>
      <c r="AM584" s="116">
        <v>378</v>
      </c>
      <c r="AN584" s="42">
        <f>2550*3*1443</f>
        <v>11038950</v>
      </c>
      <c r="AO584" s="125">
        <f t="shared" si="172"/>
        <v>1020600</v>
      </c>
      <c r="AP584" s="135"/>
      <c r="AQ584" s="102">
        <v>85699938969000</v>
      </c>
      <c r="AR584" s="102">
        <v>163028214000</v>
      </c>
      <c r="AS584" s="102">
        <v>64833700000</v>
      </c>
      <c r="AT584" s="104">
        <v>106049660000</v>
      </c>
      <c r="AU584" s="55">
        <v>29382396</v>
      </c>
      <c r="AV584" s="99">
        <v>9750694463.6000004</v>
      </c>
      <c r="AX584" s="74">
        <f t="shared" si="231"/>
        <v>1.2374531566278133E-3</v>
      </c>
    </row>
    <row r="585" spans="1:50" ht="15">
      <c r="A585" s="28">
        <v>44529</v>
      </c>
      <c r="B585" s="56">
        <v>58471520000</v>
      </c>
      <c r="C585" s="56">
        <v>13430790000</v>
      </c>
      <c r="D585" s="56"/>
      <c r="E585" s="56"/>
      <c r="F585" s="65">
        <f t="shared" ref="F585:F586" si="244">SUM(B585:E585)</f>
        <v>71902310000</v>
      </c>
      <c r="G585" s="65">
        <f t="shared" si="205"/>
        <v>19413624</v>
      </c>
      <c r="H585" s="58">
        <f t="shared" si="239"/>
        <v>1788891000</v>
      </c>
      <c r="I585" s="57">
        <v>81234702000</v>
      </c>
      <c r="J585" s="57">
        <v>83023593000</v>
      </c>
      <c r="K585" s="57"/>
      <c r="L585" s="58">
        <f t="shared" si="240"/>
        <v>25549908000</v>
      </c>
      <c r="M585" s="57"/>
      <c r="N585" s="57">
        <v>25549908000</v>
      </c>
      <c r="O585" s="58">
        <f t="shared" si="241"/>
        <v>1114239000</v>
      </c>
      <c r="P585" s="57"/>
      <c r="Q585" s="57">
        <v>1114239000</v>
      </c>
      <c r="R585" s="58">
        <f t="shared" si="242"/>
        <v>967083000</v>
      </c>
      <c r="S585" s="57"/>
      <c r="T585" s="57">
        <v>967083000</v>
      </c>
      <c r="U585" s="58">
        <f t="shared" si="243"/>
        <v>94091000</v>
      </c>
      <c r="V585" s="57"/>
      <c r="W585" s="57">
        <v>94091000</v>
      </c>
      <c r="X585" s="121"/>
      <c r="Y585" s="121"/>
      <c r="Z585" s="121"/>
      <c r="AA585" s="121"/>
      <c r="AB585" s="121"/>
      <c r="AC585" s="121"/>
      <c r="AD585" s="121"/>
      <c r="AE585" s="121"/>
      <c r="AF585" s="121"/>
      <c r="AG585" s="121"/>
      <c r="AH585" s="121"/>
      <c r="AI585" s="121"/>
      <c r="AJ585" s="121">
        <f t="shared" si="225"/>
        <v>17809781</v>
      </c>
      <c r="AK585" s="59">
        <f>972300*0.3</f>
        <v>291690</v>
      </c>
      <c r="AL585" s="54">
        <v>44529</v>
      </c>
      <c r="AM585" s="60">
        <v>850</v>
      </c>
      <c r="AN585" s="34">
        <f>2550*1775</f>
        <v>4526250</v>
      </c>
      <c r="AO585" s="125">
        <f t="shared" si="172"/>
        <v>2295000</v>
      </c>
      <c r="AP585" s="59">
        <f>7398733+25662080+108000</f>
        <v>33168813</v>
      </c>
      <c r="AQ585" s="100">
        <v>78020237774350</v>
      </c>
      <c r="AR585" s="100">
        <v>437050824000</v>
      </c>
      <c r="AS585" s="100">
        <v>118507480000</v>
      </c>
      <c r="AT585" s="103">
        <v>190409790000</v>
      </c>
      <c r="AU585" s="55">
        <v>77505158</v>
      </c>
      <c r="AV585" s="99">
        <v>9828199621.6000004</v>
      </c>
      <c r="AX585" s="74">
        <f t="shared" si="231"/>
        <v>2.4405179403669966E-3</v>
      </c>
    </row>
    <row r="586" spans="1:50" ht="15">
      <c r="A586" s="28">
        <v>44530</v>
      </c>
      <c r="B586" s="56">
        <v>31790035000</v>
      </c>
      <c r="C586" s="56">
        <v>6988165000</v>
      </c>
      <c r="D586" s="56"/>
      <c r="E586" s="56"/>
      <c r="F586" s="65">
        <f t="shared" si="244"/>
        <v>38778200000</v>
      </c>
      <c r="G586" s="65">
        <f t="shared" si="205"/>
        <v>10470114</v>
      </c>
      <c r="H586" s="58">
        <f>J586-I586</f>
        <v>2426489000</v>
      </c>
      <c r="I586" s="57">
        <v>5187400000</v>
      </c>
      <c r="J586" s="57">
        <v>7613889000</v>
      </c>
      <c r="K586" s="57"/>
      <c r="L586" s="58">
        <f>N586-M586</f>
        <v>5576653000</v>
      </c>
      <c r="M586" s="57"/>
      <c r="N586" s="57">
        <v>5576653000</v>
      </c>
      <c r="O586" s="58">
        <f>Q586-P586</f>
        <v>8881179000</v>
      </c>
      <c r="P586" s="57"/>
      <c r="Q586" s="57">
        <v>8881179000</v>
      </c>
      <c r="R586" s="58">
        <f>T586-S586</f>
        <v>992809000</v>
      </c>
      <c r="S586" s="57"/>
      <c r="T586" s="57">
        <v>992809000</v>
      </c>
      <c r="U586" s="58">
        <f>W586-V586</f>
        <v>113495000</v>
      </c>
      <c r="V586" s="57"/>
      <c r="W586" s="57">
        <v>113495000</v>
      </c>
      <c r="X586" s="121"/>
      <c r="Y586" s="121"/>
      <c r="Z586" s="121"/>
      <c r="AA586" s="121"/>
      <c r="AB586" s="121"/>
      <c r="AC586" s="121"/>
      <c r="AD586" s="121"/>
      <c r="AE586" s="121"/>
      <c r="AF586" s="121"/>
      <c r="AG586" s="121"/>
      <c r="AH586" s="121"/>
      <c r="AI586" s="121"/>
      <c r="AJ586" s="121">
        <f t="shared" si="225"/>
        <v>2876720</v>
      </c>
      <c r="AK586" s="59">
        <f>623700*0.3</f>
        <v>187110</v>
      </c>
      <c r="AL586" s="54">
        <v>44530</v>
      </c>
      <c r="AM586" s="60">
        <v>251</v>
      </c>
      <c r="AN586" s="34">
        <f>2550*1792</f>
        <v>4569600</v>
      </c>
      <c r="AO586" s="125">
        <f t="shared" si="172"/>
        <v>677700</v>
      </c>
      <c r="AP586" s="59">
        <v>1600000</v>
      </c>
      <c r="AQ586" s="100">
        <v>84302995183562</v>
      </c>
      <c r="AR586" s="100">
        <v>236487430000</v>
      </c>
      <c r="AS586" s="100">
        <v>29032504000</v>
      </c>
      <c r="AT586" s="103">
        <v>67810704000</v>
      </c>
      <c r="AU586" s="55">
        <v>20381244</v>
      </c>
      <c r="AV586" s="99">
        <v>9848580865.6000004</v>
      </c>
      <c r="AX586" s="74">
        <f t="shared" si="231"/>
        <v>8.0436885845334961E-4</v>
      </c>
    </row>
    <row r="587" spans="1:50" ht="15">
      <c r="A587" s="28">
        <v>44531</v>
      </c>
      <c r="B587" s="56">
        <v>54169725000</v>
      </c>
      <c r="C587" s="56">
        <v>15825345000</v>
      </c>
      <c r="D587" s="56"/>
      <c r="E587" s="56"/>
      <c r="F587" s="65">
        <f t="shared" ref="F587:F588" si="245">SUM(B587:E587)</f>
        <v>69995070000</v>
      </c>
      <c r="G587" s="65">
        <f t="shared" si="205"/>
        <v>18898669</v>
      </c>
      <c r="H587" s="58">
        <f>J587-I587</f>
        <v>3353108000</v>
      </c>
      <c r="I587" s="57">
        <v>49183500000</v>
      </c>
      <c r="J587" s="57">
        <v>52536608000</v>
      </c>
      <c r="K587" s="57"/>
      <c r="L587" s="58">
        <f>N587-M587</f>
        <v>12384240000</v>
      </c>
      <c r="M587" s="57"/>
      <c r="N587" s="57">
        <v>12384240000</v>
      </c>
      <c r="O587" s="58">
        <f>Q587-P587</f>
        <v>348920000</v>
      </c>
      <c r="P587" s="57"/>
      <c r="Q587" s="57">
        <v>348920000</v>
      </c>
      <c r="R587" s="58">
        <f>T587-S587</f>
        <v>640226000</v>
      </c>
      <c r="S587" s="57"/>
      <c r="T587" s="57">
        <v>640226000</v>
      </c>
      <c r="U587" s="58">
        <f>W587-V587</f>
        <v>43991000</v>
      </c>
      <c r="V587" s="57"/>
      <c r="W587" s="57">
        <v>43991000</v>
      </c>
      <c r="X587" s="121"/>
      <c r="Y587" s="121"/>
      <c r="Z587" s="121"/>
      <c r="AA587" s="121"/>
      <c r="AB587" s="121"/>
      <c r="AC587" s="121"/>
      <c r="AD587" s="121"/>
      <c r="AE587" s="121"/>
      <c r="AF587" s="121"/>
      <c r="AG587" s="121"/>
      <c r="AH587" s="121"/>
      <c r="AI587" s="121"/>
      <c r="AJ587" s="121">
        <f t="shared" si="225"/>
        <v>10664242</v>
      </c>
      <c r="AK587" s="59">
        <f>818100*0.3</f>
        <v>245430</v>
      </c>
      <c r="AL587" s="54">
        <v>44531</v>
      </c>
      <c r="AM587" s="60">
        <f>304+447</f>
        <v>751</v>
      </c>
      <c r="AN587" s="34">
        <f>1935*2550</f>
        <v>4934250</v>
      </c>
      <c r="AO587" s="125">
        <f t="shared" ref="AO587:AO588" si="246">AM587*2700</f>
        <v>2027700</v>
      </c>
      <c r="AP587" s="59"/>
      <c r="AQ587" s="100">
        <v>64733961282200</v>
      </c>
      <c r="AR587" s="100">
        <v>240011998000</v>
      </c>
      <c r="AS587" s="100">
        <v>66554135000</v>
      </c>
      <c r="AT587" s="103">
        <v>136549205000</v>
      </c>
      <c r="AU587" s="55">
        <v>36770291</v>
      </c>
      <c r="AV587" s="99">
        <v>9885351156.6000004</v>
      </c>
      <c r="AX587" s="74">
        <f t="shared" si="231"/>
        <v>2.1093905315747634E-3</v>
      </c>
    </row>
    <row r="588" spans="1:50" ht="15">
      <c r="A588" s="28">
        <v>44532</v>
      </c>
      <c r="B588" s="118">
        <v>55919500000</v>
      </c>
      <c r="C588" s="118">
        <v>15916340000</v>
      </c>
      <c r="D588" s="118"/>
      <c r="E588" s="118"/>
      <c r="F588" s="120">
        <f t="shared" si="245"/>
        <v>71835840000</v>
      </c>
      <c r="G588" s="120">
        <f t="shared" si="205"/>
        <v>19395677</v>
      </c>
      <c r="H588" s="122">
        <f>J588-I588</f>
        <v>1335770000</v>
      </c>
      <c r="I588" s="121">
        <v>5215000000</v>
      </c>
      <c r="J588" s="121">
        <v>6550770000</v>
      </c>
      <c r="K588" s="121"/>
      <c r="L588" s="122">
        <f>N588-M588</f>
        <v>8582972000</v>
      </c>
      <c r="M588" s="121"/>
      <c r="N588" s="121">
        <v>8582972000</v>
      </c>
      <c r="O588" s="122">
        <f>Q588-P588</f>
        <v>11362000</v>
      </c>
      <c r="P588" s="121"/>
      <c r="Q588" s="121">
        <v>11362000</v>
      </c>
      <c r="R588" s="122">
        <f>T588-S588</f>
        <v>961268000</v>
      </c>
      <c r="S588" s="121"/>
      <c r="T588" s="121">
        <v>961268000</v>
      </c>
      <c r="U588" s="122">
        <f>W588-V588</f>
        <v>126895000</v>
      </c>
      <c r="V588" s="121"/>
      <c r="W588" s="121">
        <v>126895000</v>
      </c>
      <c r="X588" s="121"/>
      <c r="Y588" s="121"/>
      <c r="Z588" s="121"/>
      <c r="AA588" s="121"/>
      <c r="AB588" s="121"/>
      <c r="AC588" s="121"/>
      <c r="AD588" s="121"/>
      <c r="AE588" s="121"/>
      <c r="AF588" s="121"/>
      <c r="AG588" s="121"/>
      <c r="AH588" s="121"/>
      <c r="AI588" s="121"/>
      <c r="AJ588" s="121">
        <f t="shared" si="225"/>
        <v>2128673</v>
      </c>
      <c r="AK588" s="124">
        <f>1056400*0.3+61700*0.3</f>
        <v>335430</v>
      </c>
      <c r="AL588" s="54">
        <v>44532</v>
      </c>
      <c r="AM588" s="125">
        <v>526</v>
      </c>
      <c r="AN588" s="54">
        <f>1581*2550</f>
        <v>4031550</v>
      </c>
      <c r="AO588" s="125">
        <f t="shared" si="246"/>
        <v>1420200</v>
      </c>
      <c r="AP588" s="124"/>
      <c r="AQ588" s="101">
        <v>57004155932550</v>
      </c>
      <c r="AR588" s="100">
        <v>143706968000</v>
      </c>
      <c r="AS588" s="101">
        <v>23154683000</v>
      </c>
      <c r="AT588" s="105">
        <v>91999298000</v>
      </c>
      <c r="AU588" s="55">
        <v>27311530</v>
      </c>
      <c r="AV588" s="99">
        <v>9912662686.6000004</v>
      </c>
      <c r="AX588" s="74">
        <f t="shared" si="231"/>
        <v>1.6139051003379104E-3</v>
      </c>
    </row>
    <row r="589" spans="1:50" ht="15">
      <c r="A589" s="28">
        <v>44533</v>
      </c>
      <c r="B589" s="65">
        <v>89145600000</v>
      </c>
      <c r="C589" s="65">
        <v>11649175000</v>
      </c>
      <c r="D589" s="141">
        <v>6111720000</v>
      </c>
      <c r="E589" s="65"/>
      <c r="F589" s="65">
        <f>SUM(B589:E589)</f>
        <v>106906495000</v>
      </c>
      <c r="G589" s="65">
        <f t="shared" si="205"/>
        <v>28864754</v>
      </c>
      <c r="H589" s="58">
        <f t="shared" ref="H589:H590" si="247">J589-I589</f>
        <v>7820349000</v>
      </c>
      <c r="I589" s="58"/>
      <c r="J589" s="58">
        <v>7820349000</v>
      </c>
      <c r="K589" s="58"/>
      <c r="L589" s="58">
        <f t="shared" ref="L589:L590" si="248">N589-M589</f>
        <v>7282408000</v>
      </c>
      <c r="M589" s="58"/>
      <c r="N589" s="58">
        <v>7282408000</v>
      </c>
      <c r="O589" s="58">
        <f t="shared" ref="O589:O590" si="249">Q589-P589</f>
        <v>1998795000</v>
      </c>
      <c r="P589" s="58"/>
      <c r="Q589" s="58">
        <v>1998795000</v>
      </c>
      <c r="R589" s="58">
        <f t="shared" ref="R589:R590" si="250">T589-S589</f>
        <v>627949000</v>
      </c>
      <c r="S589" s="58"/>
      <c r="T589" s="58">
        <v>627949000</v>
      </c>
      <c r="U589" s="58">
        <f t="shared" ref="U589:U590" si="251">W589-V589</f>
        <v>95499000</v>
      </c>
      <c r="V589" s="58"/>
      <c r="W589" s="58">
        <v>95499000</v>
      </c>
      <c r="X589" s="122"/>
      <c r="Y589" s="122"/>
      <c r="Z589" s="122"/>
      <c r="AA589" s="122"/>
      <c r="AB589" s="122"/>
      <c r="AC589" s="122"/>
      <c r="AD589" s="122"/>
      <c r="AE589" s="122"/>
      <c r="AF589" s="122"/>
      <c r="AG589" s="122"/>
      <c r="AH589" s="122"/>
      <c r="AI589" s="122"/>
      <c r="AJ589" s="121">
        <f t="shared" si="225"/>
        <v>1925100</v>
      </c>
      <c r="AK589" s="66">
        <f>664600*0.3</f>
        <v>199380</v>
      </c>
      <c r="AL589" s="54">
        <v>44533</v>
      </c>
      <c r="AM589" s="116">
        <v>833</v>
      </c>
      <c r="AN589" s="42">
        <f>2550*3*1740</f>
        <v>13311000</v>
      </c>
      <c r="AO589" s="125">
        <f t="shared" ref="AO589:AO609" si="252">AM589*2700</f>
        <v>2249100</v>
      </c>
      <c r="AP589" s="135"/>
      <c r="AQ589" s="102">
        <v>79998625690968</v>
      </c>
      <c r="AR589" s="102">
        <v>76010000000</v>
      </c>
      <c r="AS589" s="102">
        <v>18489016000</v>
      </c>
      <c r="AT589" s="104">
        <v>125395511000</v>
      </c>
      <c r="AU589" s="55">
        <v>46549334</v>
      </c>
      <c r="AV589" s="99">
        <v>9959212020.6000004</v>
      </c>
      <c r="AX589" s="74">
        <f t="shared" ref="AX589:AX609" si="253">AT589/AQ589</f>
        <v>1.5674708148662284E-3</v>
      </c>
    </row>
    <row r="590" spans="1:50" ht="15">
      <c r="A590" s="28">
        <v>44536</v>
      </c>
      <c r="B590" s="56">
        <v>113458800000</v>
      </c>
      <c r="C590" s="56">
        <v>16621355000</v>
      </c>
      <c r="D590" s="56"/>
      <c r="E590" s="56"/>
      <c r="F590" s="65">
        <f t="shared" ref="F590:F593" si="254">SUM(B590:E590)</f>
        <v>130080155000</v>
      </c>
      <c r="G590" s="65">
        <f t="shared" si="205"/>
        <v>35121642</v>
      </c>
      <c r="H590" s="58">
        <f t="shared" si="247"/>
        <v>6187196000</v>
      </c>
      <c r="I590" s="57"/>
      <c r="J590" s="57">
        <v>6187196000</v>
      </c>
      <c r="K590" s="57"/>
      <c r="L590" s="58">
        <f t="shared" si="248"/>
        <v>5716943000</v>
      </c>
      <c r="M590" s="57"/>
      <c r="N590" s="57">
        <v>5716943000</v>
      </c>
      <c r="O590" s="58">
        <f t="shared" si="249"/>
        <v>5931271000</v>
      </c>
      <c r="P590" s="57"/>
      <c r="Q590" s="57">
        <v>5931271000</v>
      </c>
      <c r="R590" s="58">
        <f t="shared" si="250"/>
        <v>878967000</v>
      </c>
      <c r="S590" s="57">
        <v>1932000000</v>
      </c>
      <c r="T590" s="57">
        <v>2810967000</v>
      </c>
      <c r="U590" s="58">
        <f t="shared" si="251"/>
        <v>620251000</v>
      </c>
      <c r="V590" s="57"/>
      <c r="W590" s="57">
        <v>620251000</v>
      </c>
      <c r="X590" s="121"/>
      <c r="Y590" s="121"/>
      <c r="Z590" s="121"/>
      <c r="AA590" s="121"/>
      <c r="AB590" s="121"/>
      <c r="AC590" s="121"/>
      <c r="AD590" s="121"/>
      <c r="AE590" s="121"/>
      <c r="AF590" s="121"/>
      <c r="AG590" s="121"/>
      <c r="AH590" s="121"/>
      <c r="AI590" s="121"/>
      <c r="AJ590" s="121">
        <f t="shared" si="225"/>
        <v>2435900</v>
      </c>
      <c r="AK590" s="59">
        <f>1167900*0.3</f>
        <v>350370</v>
      </c>
      <c r="AL590" s="54">
        <v>44536</v>
      </c>
      <c r="AM590" s="60">
        <v>958</v>
      </c>
      <c r="AN590" s="34">
        <f>2550*1880</f>
        <v>4794000</v>
      </c>
      <c r="AO590" s="125">
        <f t="shared" si="252"/>
        <v>2586600</v>
      </c>
      <c r="AP590" s="59"/>
      <c r="AQ590" s="100">
        <v>75796353432400</v>
      </c>
      <c r="AR590" s="100">
        <v>155219516000</v>
      </c>
      <c r="AS590" s="100">
        <v>21887558000</v>
      </c>
      <c r="AT590" s="103">
        <v>151967713000</v>
      </c>
      <c r="AU590" s="55">
        <v>45288512</v>
      </c>
      <c r="AV590" s="99">
        <v>10004500532.6</v>
      </c>
      <c r="AX590" s="74">
        <f t="shared" si="253"/>
        <v>2.0049475485062018E-3</v>
      </c>
    </row>
    <row r="591" spans="1:50" ht="15">
      <c r="A591" s="28">
        <v>44537</v>
      </c>
      <c r="B591" s="56">
        <v>84997925000</v>
      </c>
      <c r="C591" s="56"/>
      <c r="D591" s="56"/>
      <c r="E591" s="56"/>
      <c r="F591" s="65">
        <f t="shared" si="254"/>
        <v>84997925000</v>
      </c>
      <c r="G591" s="65">
        <f t="shared" si="205"/>
        <v>22949440</v>
      </c>
      <c r="H591" s="58">
        <f>J591-I591</f>
        <v>641063000</v>
      </c>
      <c r="I591" s="57">
        <v>13807750000</v>
      </c>
      <c r="J591" s="57">
        <v>14448813000</v>
      </c>
      <c r="K591" s="57"/>
      <c r="L591" s="58">
        <f>N591-M591</f>
        <v>5340366000</v>
      </c>
      <c r="M591" s="57"/>
      <c r="N591" s="57">
        <v>5340366000</v>
      </c>
      <c r="O591" s="58">
        <f>Q591-P591</f>
        <v>3754830000</v>
      </c>
      <c r="P591" s="57"/>
      <c r="Q591" s="57">
        <v>3754830000</v>
      </c>
      <c r="R591" s="58">
        <f>T591-S591</f>
        <v>779287000</v>
      </c>
      <c r="S591" s="57"/>
      <c r="T591" s="57">
        <v>779287000</v>
      </c>
      <c r="U591" s="58">
        <f>W591-V591</f>
        <v>485554000</v>
      </c>
      <c r="V591" s="57"/>
      <c r="W591" s="57">
        <v>485554000</v>
      </c>
      <c r="X591" s="121"/>
      <c r="Y591" s="121"/>
      <c r="Z591" s="121"/>
      <c r="AA591" s="121"/>
      <c r="AB591" s="121"/>
      <c r="AC591" s="121"/>
      <c r="AD591" s="121"/>
      <c r="AE591" s="121"/>
      <c r="AF591" s="121"/>
      <c r="AG591" s="121"/>
      <c r="AH591" s="121"/>
      <c r="AI591" s="121"/>
      <c r="AJ591" s="121">
        <f t="shared" si="225"/>
        <v>3673514</v>
      </c>
      <c r="AK591" s="59">
        <f>1131800*0.3</f>
        <v>339540</v>
      </c>
      <c r="AL591" s="54">
        <v>44537</v>
      </c>
      <c r="AM591" s="60">
        <v>737</v>
      </c>
      <c r="AN591" s="34">
        <f>2550*1741</f>
        <v>4439550</v>
      </c>
      <c r="AO591" s="125">
        <f t="shared" si="252"/>
        <v>1989900</v>
      </c>
      <c r="AP591" s="59"/>
      <c r="AQ591" s="100">
        <v>56376334665154</v>
      </c>
      <c r="AR591" s="100">
        <v>232318294000</v>
      </c>
      <c r="AS591" s="100">
        <v>39208068000</v>
      </c>
      <c r="AT591" s="103">
        <v>124205993000</v>
      </c>
      <c r="AU591" s="55">
        <v>33391944</v>
      </c>
      <c r="AV591" s="99">
        <v>10037892476.6</v>
      </c>
      <c r="AX591" s="74">
        <f t="shared" si="253"/>
        <v>2.2031583595797555E-3</v>
      </c>
    </row>
    <row r="592" spans="1:50" ht="15">
      <c r="A592" s="28">
        <v>44538</v>
      </c>
      <c r="B592" s="56">
        <v>106990766000</v>
      </c>
      <c r="C592" s="56">
        <v>3094650000</v>
      </c>
      <c r="D592" s="56">
        <v>3475380000</v>
      </c>
      <c r="E592" s="56"/>
      <c r="F592" s="65">
        <f t="shared" si="254"/>
        <v>113560796000</v>
      </c>
      <c r="G592" s="65">
        <f t="shared" si="205"/>
        <v>30661415</v>
      </c>
      <c r="H592" s="58">
        <f>J592-I592</f>
        <v>5112000</v>
      </c>
      <c r="I592" s="57">
        <v>59887900000</v>
      </c>
      <c r="J592" s="57">
        <v>59893012000</v>
      </c>
      <c r="K592" s="57"/>
      <c r="L592" s="58">
        <f>N592-M592</f>
        <v>10290896000</v>
      </c>
      <c r="M592" s="57"/>
      <c r="N592" s="57">
        <v>10290896000</v>
      </c>
      <c r="O592" s="58">
        <f>Q592-P592</f>
        <v>1039781000</v>
      </c>
      <c r="P592" s="57"/>
      <c r="Q592" s="57">
        <v>1039781000</v>
      </c>
      <c r="R592" s="58">
        <f>T592-S592</f>
        <v>757474000</v>
      </c>
      <c r="S592" s="57"/>
      <c r="T592" s="57">
        <v>757474000</v>
      </c>
      <c r="U592" s="58">
        <f>W592-V592</f>
        <v>375923000</v>
      </c>
      <c r="V592" s="57"/>
      <c r="W592" s="57">
        <v>375923000</v>
      </c>
      <c r="X592" s="121"/>
      <c r="Y592" s="121"/>
      <c r="Z592" s="121"/>
      <c r="AA592" s="121"/>
      <c r="AB592" s="121"/>
      <c r="AC592" s="121"/>
      <c r="AD592" s="121"/>
      <c r="AE592" s="121"/>
      <c r="AF592" s="121"/>
      <c r="AG592" s="121"/>
      <c r="AH592" s="121"/>
      <c r="AI592" s="121"/>
      <c r="AJ592" s="121">
        <f t="shared" si="225"/>
        <v>12126494</v>
      </c>
      <c r="AK592" s="59">
        <f>287000*0.3+(3672100-2375000)*0.3+300000</f>
        <v>775230</v>
      </c>
      <c r="AL592" s="54">
        <v>44538</v>
      </c>
      <c r="AM592" s="60">
        <v>826</v>
      </c>
      <c r="AN592" s="34">
        <f>2550*1225</f>
        <v>3123750</v>
      </c>
      <c r="AO592" s="125">
        <f t="shared" si="252"/>
        <v>2230200</v>
      </c>
      <c r="AP592" s="59"/>
      <c r="AQ592" s="100">
        <v>53466041120162</v>
      </c>
      <c r="AR592" s="100">
        <v>259543500000</v>
      </c>
      <c r="AS592" s="100">
        <v>132833736000</v>
      </c>
      <c r="AT592" s="103">
        <v>246394532000</v>
      </c>
      <c r="AU592" s="55">
        <v>48917089</v>
      </c>
      <c r="AV592" s="99">
        <v>10086809565.6</v>
      </c>
      <c r="AX592" s="74">
        <f t="shared" si="253"/>
        <v>4.6084304511389163E-3</v>
      </c>
    </row>
    <row r="593" spans="1:50" ht="15">
      <c r="A593" s="28">
        <v>44539</v>
      </c>
      <c r="B593" s="118">
        <v>49817935000</v>
      </c>
      <c r="C593" s="118"/>
      <c r="D593" s="118"/>
      <c r="E593" s="118"/>
      <c r="F593" s="120">
        <f t="shared" si="254"/>
        <v>49817935000</v>
      </c>
      <c r="G593" s="120">
        <f t="shared" si="205"/>
        <v>13450842</v>
      </c>
      <c r="H593" s="122">
        <f>J593-I593</f>
        <v>3212099000</v>
      </c>
      <c r="I593" s="121">
        <v>55991500000</v>
      </c>
      <c r="J593" s="121">
        <v>59203599000</v>
      </c>
      <c r="K593" s="121"/>
      <c r="L593" s="122">
        <f>N593-M593</f>
        <v>5211713000</v>
      </c>
      <c r="M593" s="121"/>
      <c r="N593" s="121">
        <v>5211713000</v>
      </c>
      <c r="O593" s="122">
        <f>Q593-P593</f>
        <v>880175000</v>
      </c>
      <c r="P593" s="121"/>
      <c r="Q593" s="121">
        <v>880175000</v>
      </c>
      <c r="R593" s="122">
        <f>T593-S593</f>
        <v>706696000</v>
      </c>
      <c r="S593" s="121"/>
      <c r="T593" s="121">
        <v>706696000</v>
      </c>
      <c r="U593" s="122">
        <f>W593-V593</f>
        <v>47144000</v>
      </c>
      <c r="V593" s="121"/>
      <c r="W593" s="121">
        <v>47144000</v>
      </c>
      <c r="X593" s="121"/>
      <c r="Y593" s="121"/>
      <c r="Z593" s="121"/>
      <c r="AA593" s="121"/>
      <c r="AB593" s="121"/>
      <c r="AC593" s="121"/>
      <c r="AD593" s="121"/>
      <c r="AE593" s="121"/>
      <c r="AF593" s="121"/>
      <c r="AG593" s="121"/>
      <c r="AH593" s="121"/>
      <c r="AI593" s="121"/>
      <c r="AJ593" s="121">
        <f t="shared" si="225"/>
        <v>11164715</v>
      </c>
      <c r="AK593" s="124">
        <f>(2721100-2200000)*0.3+300000</f>
        <v>456330</v>
      </c>
      <c r="AL593" s="54">
        <v>44539</v>
      </c>
      <c r="AM593" s="125">
        <v>438</v>
      </c>
      <c r="AN593" s="54">
        <f>2550*1235</f>
        <v>3149250</v>
      </c>
      <c r="AO593" s="125">
        <f t="shared" si="252"/>
        <v>1182600</v>
      </c>
      <c r="AP593" s="124"/>
      <c r="AQ593" s="101">
        <v>48604461981480</v>
      </c>
      <c r="AR593" s="100">
        <v>218586500000</v>
      </c>
      <c r="AS593" s="101">
        <v>111069695000</v>
      </c>
      <c r="AT593" s="105">
        <v>160887630000</v>
      </c>
      <c r="AU593" s="55">
        <v>29403737</v>
      </c>
      <c r="AV593" s="99">
        <v>10116213302.6</v>
      </c>
      <c r="AX593" s="74">
        <f t="shared" si="253"/>
        <v>3.3101411566144648E-3</v>
      </c>
    </row>
    <row r="594" spans="1:50" ht="15">
      <c r="A594" s="28">
        <v>44540</v>
      </c>
      <c r="B594" s="65">
        <v>91764155000</v>
      </c>
      <c r="C594" s="65">
        <v>17029950000</v>
      </c>
      <c r="D594" s="141"/>
      <c r="E594" s="65"/>
      <c r="F594" s="65">
        <f>SUM(B594:E594)</f>
        <v>108794105000</v>
      </c>
      <c r="G594" s="65">
        <f t="shared" si="205"/>
        <v>29374408</v>
      </c>
      <c r="H594" s="58">
        <f t="shared" ref="H594:H595" si="255">J594-I594</f>
        <v>0</v>
      </c>
      <c r="I594" s="58"/>
      <c r="J594" s="58"/>
      <c r="K594" s="58"/>
      <c r="L594" s="58">
        <f t="shared" ref="L594:L595" si="256">N594-M594</f>
        <v>5614053000</v>
      </c>
      <c r="M594" s="58"/>
      <c r="N594" s="58">
        <v>5614053000</v>
      </c>
      <c r="O594" s="58">
        <f t="shared" ref="O594:O595" si="257">Q594-P594</f>
        <v>811703000</v>
      </c>
      <c r="P594" s="58"/>
      <c r="Q594" s="58">
        <v>811703000</v>
      </c>
      <c r="R594" s="58">
        <f t="shared" ref="R594:R595" si="258">T594-S594</f>
        <v>758620000</v>
      </c>
      <c r="S594" s="58"/>
      <c r="T594" s="58">
        <v>758620000</v>
      </c>
      <c r="U594" s="58">
        <f t="shared" ref="U594:U595" si="259">W594-V594</f>
        <v>43535000</v>
      </c>
      <c r="V594" s="58"/>
      <c r="W594" s="58">
        <v>43535000</v>
      </c>
      <c r="X594" s="122"/>
      <c r="Y594" s="122"/>
      <c r="Z594" s="122"/>
      <c r="AA594" s="122"/>
      <c r="AB594" s="122"/>
      <c r="AC594" s="122"/>
      <c r="AD594" s="122"/>
      <c r="AE594" s="122"/>
      <c r="AF594" s="122"/>
      <c r="AG594" s="122"/>
      <c r="AH594" s="122"/>
      <c r="AI594" s="122"/>
      <c r="AJ594" s="121">
        <f t="shared" si="225"/>
        <v>780614</v>
      </c>
      <c r="AK594" s="66">
        <f>1379900*0.3+28000*0.3</f>
        <v>422370</v>
      </c>
      <c r="AL594" s="54">
        <v>44540</v>
      </c>
      <c r="AM594" s="116">
        <v>691</v>
      </c>
      <c r="AN594" s="42">
        <f>1034*2550*3</f>
        <v>7910100</v>
      </c>
      <c r="AO594" s="125">
        <f t="shared" si="252"/>
        <v>1865700</v>
      </c>
      <c r="AP594" s="135"/>
      <c r="AQ594" s="102">
        <v>57289499397200</v>
      </c>
      <c r="AR594" s="102">
        <v>51240000000</v>
      </c>
      <c r="AS594" s="102">
        <v>7825697000</v>
      </c>
      <c r="AT594" s="104">
        <v>116619802000</v>
      </c>
      <c r="AU594" s="55">
        <v>40353192</v>
      </c>
      <c r="AV594" s="99">
        <v>10156566494.6</v>
      </c>
      <c r="AX594" s="74">
        <f t="shared" si="253"/>
        <v>2.0356226398742061E-3</v>
      </c>
    </row>
    <row r="595" spans="1:50" ht="15">
      <c r="A595" s="28">
        <v>44543</v>
      </c>
      <c r="B595" s="56">
        <v>67981385000</v>
      </c>
      <c r="C595" s="56">
        <v>17812960000</v>
      </c>
      <c r="D595" s="56"/>
      <c r="E595" s="56"/>
      <c r="F595" s="65">
        <f t="shared" ref="F595:F598" si="260">SUM(B595:E595)</f>
        <v>85794345000</v>
      </c>
      <c r="G595" s="65">
        <f t="shared" si="205"/>
        <v>23164473</v>
      </c>
      <c r="H595" s="58">
        <f t="shared" si="255"/>
        <v>15591000</v>
      </c>
      <c r="I595" s="57"/>
      <c r="J595" s="57">
        <v>15591000</v>
      </c>
      <c r="K595" s="57"/>
      <c r="L595" s="58">
        <f t="shared" si="256"/>
        <v>3866383000</v>
      </c>
      <c r="M595" s="57"/>
      <c r="N595" s="57">
        <v>3866383000</v>
      </c>
      <c r="O595" s="58">
        <f t="shared" si="257"/>
        <v>3370579000</v>
      </c>
      <c r="P595" s="57"/>
      <c r="Q595" s="57">
        <v>3370579000</v>
      </c>
      <c r="R595" s="58">
        <f t="shared" si="258"/>
        <v>871967000</v>
      </c>
      <c r="S595" s="57">
        <v>1979500000</v>
      </c>
      <c r="T595" s="57">
        <v>2851467000</v>
      </c>
      <c r="U595" s="58">
        <f t="shared" si="259"/>
        <v>243782000</v>
      </c>
      <c r="V595" s="57"/>
      <c r="W595" s="57">
        <v>243782000</v>
      </c>
      <c r="X595" s="121"/>
      <c r="Y595" s="121"/>
      <c r="Z595" s="121"/>
      <c r="AA595" s="121"/>
      <c r="AB595" s="121"/>
      <c r="AC595" s="121"/>
      <c r="AD595" s="121"/>
      <c r="AE595" s="121"/>
      <c r="AF595" s="121"/>
      <c r="AG595" s="121"/>
      <c r="AH595" s="121"/>
      <c r="AI595" s="121"/>
      <c r="AJ595" s="121">
        <f t="shared" si="225"/>
        <v>1260087</v>
      </c>
      <c r="AK595" s="59">
        <f>898600*0.3</f>
        <v>269580</v>
      </c>
      <c r="AL595" s="54">
        <v>44543</v>
      </c>
      <c r="AM595" s="60">
        <v>698</v>
      </c>
      <c r="AN595" s="34">
        <f>1152*2550</f>
        <v>2937600</v>
      </c>
      <c r="AO595" s="125">
        <f t="shared" si="252"/>
        <v>1884600</v>
      </c>
      <c r="AP595" s="59"/>
      <c r="AQ595" s="100">
        <v>62766733108348</v>
      </c>
      <c r="AR595" s="100">
        <v>144431378000</v>
      </c>
      <c r="AS595" s="100">
        <v>10940452000</v>
      </c>
      <c r="AT595" s="103">
        <v>96734797000</v>
      </c>
      <c r="AU595" s="55">
        <v>29516340</v>
      </c>
      <c r="AV595" s="99">
        <v>10186082834.6</v>
      </c>
      <c r="AX595" s="74">
        <f t="shared" si="253"/>
        <v>1.5411794147867515E-3</v>
      </c>
    </row>
    <row r="596" spans="1:50" ht="15">
      <c r="A596" s="28">
        <v>44544</v>
      </c>
      <c r="B596" s="56">
        <v>46284205000</v>
      </c>
      <c r="C596" s="56"/>
      <c r="D596" s="56"/>
      <c r="E596" s="56"/>
      <c r="F596" s="65">
        <f t="shared" si="260"/>
        <v>46284205000</v>
      </c>
      <c r="G596" s="65">
        <f t="shared" si="205"/>
        <v>12496735</v>
      </c>
      <c r="H596" s="58">
        <f>J596-I596</f>
        <v>0</v>
      </c>
      <c r="I596" s="57"/>
      <c r="J596" s="57"/>
      <c r="K596" s="57"/>
      <c r="L596" s="58">
        <f>N596-M596</f>
        <v>8301000</v>
      </c>
      <c r="M596" s="57"/>
      <c r="N596" s="57">
        <v>8301000</v>
      </c>
      <c r="O596" s="58">
        <f>Q596-P596</f>
        <v>2084440000</v>
      </c>
      <c r="P596" s="57"/>
      <c r="Q596" s="57">
        <v>2084440000</v>
      </c>
      <c r="R596" s="58">
        <f>T596-S596</f>
        <v>712668000</v>
      </c>
      <c r="S596" s="57"/>
      <c r="T596" s="57">
        <v>712668000</v>
      </c>
      <c r="U596" s="58">
        <f>W596-V596</f>
        <v>452616000</v>
      </c>
      <c r="V596" s="57"/>
      <c r="W596" s="57">
        <v>452616000</v>
      </c>
      <c r="X596" s="121"/>
      <c r="Y596" s="121"/>
      <c r="Z596" s="121"/>
      <c r="AA596" s="121"/>
      <c r="AB596" s="121"/>
      <c r="AC596" s="121"/>
      <c r="AD596" s="121"/>
      <c r="AE596" s="121"/>
      <c r="AF596" s="121"/>
      <c r="AG596" s="121"/>
      <c r="AH596" s="121"/>
      <c r="AI596" s="121"/>
      <c r="AJ596" s="121">
        <v>351866</v>
      </c>
      <c r="AK596" s="59">
        <f>657800*0.3</f>
        <v>197340</v>
      </c>
      <c r="AL596" s="54">
        <v>44544</v>
      </c>
      <c r="AM596" s="60">
        <v>733</v>
      </c>
      <c r="AN596" s="34">
        <f>1025*2550</f>
        <v>2613750</v>
      </c>
      <c r="AO596" s="125">
        <f t="shared" si="252"/>
        <v>1979100</v>
      </c>
      <c r="AP596" s="59"/>
      <c r="AQ596" s="100">
        <v>66124074715432</v>
      </c>
      <c r="AR596" s="100">
        <v>21922000000</v>
      </c>
      <c r="AS596" s="100">
        <v>3910950000</v>
      </c>
      <c r="AT596" s="103">
        <v>50195155000</v>
      </c>
      <c r="AU596" s="55">
        <v>17638791</v>
      </c>
      <c r="AV596" s="99">
        <v>10203721625.6</v>
      </c>
      <c r="AX596" s="74">
        <f t="shared" si="253"/>
        <v>7.5910559377983221E-4</v>
      </c>
    </row>
    <row r="597" spans="1:50" ht="15">
      <c r="A597" s="28">
        <v>44545</v>
      </c>
      <c r="B597" s="56">
        <v>56005625000</v>
      </c>
      <c r="C597" s="56"/>
      <c r="D597" s="56"/>
      <c r="E597" s="56"/>
      <c r="F597" s="65">
        <f t="shared" si="260"/>
        <v>56005625000</v>
      </c>
      <c r="G597" s="65">
        <f t="shared" si="205"/>
        <v>15121519</v>
      </c>
      <c r="H597" s="58">
        <f>J597-I597</f>
        <v>3817164000</v>
      </c>
      <c r="I597" s="57"/>
      <c r="J597" s="57">
        <v>3817164000</v>
      </c>
      <c r="K597" s="57"/>
      <c r="L597" s="58">
        <f>N597-M597</f>
        <v>7277214000</v>
      </c>
      <c r="M597" s="57"/>
      <c r="N597" s="57">
        <v>7277214000</v>
      </c>
      <c r="O597" s="58">
        <f>Q597-P597</f>
        <v>1466584000</v>
      </c>
      <c r="P597" s="57"/>
      <c r="Q597" s="57">
        <v>1466584000</v>
      </c>
      <c r="R597" s="58">
        <f>T597-S597</f>
        <v>411006000</v>
      </c>
      <c r="S597" s="57"/>
      <c r="T597" s="57">
        <v>411006000</v>
      </c>
      <c r="U597" s="58">
        <f>W597-V597</f>
        <v>505817000</v>
      </c>
      <c r="V597" s="57"/>
      <c r="W597" s="57">
        <v>505817000</v>
      </c>
      <c r="X597" s="121"/>
      <c r="Y597" s="121"/>
      <c r="Z597" s="121"/>
      <c r="AA597" s="121"/>
      <c r="AB597" s="121"/>
      <c r="AC597" s="121"/>
      <c r="AD597" s="121"/>
      <c r="AE597" s="121"/>
      <c r="AF597" s="121"/>
      <c r="AG597" s="121"/>
      <c r="AH597" s="121"/>
      <c r="AI597" s="121"/>
      <c r="AJ597" s="121">
        <f t="shared" ref="AJ597:AJ612" si="261">ROUND(H597*0.0108%+I597*0.018%+K597*0.018%+L597*0.0108%+M597*0.018%+O597*0.0108%+P597*0.018%+R597*0.0108%+S597*0.018%+V597*0.018%+U597*0.0108%,0)</f>
        <v>1455601</v>
      </c>
      <c r="AK597" s="59">
        <f>521800*0.3</f>
        <v>156540</v>
      </c>
      <c r="AL597" s="54">
        <v>44545</v>
      </c>
      <c r="AM597" s="60">
        <v>1647</v>
      </c>
      <c r="AN597" s="34">
        <f>1210*2550</f>
        <v>3085500</v>
      </c>
      <c r="AO597" s="125">
        <f t="shared" si="252"/>
        <v>4446900</v>
      </c>
      <c r="AP597" s="59"/>
      <c r="AQ597" s="100">
        <v>62550149457330</v>
      </c>
      <c r="AR597" s="100">
        <v>108578146000</v>
      </c>
      <c r="AS597" s="100">
        <v>13774185000</v>
      </c>
      <c r="AT597" s="103">
        <v>69779810000</v>
      </c>
      <c r="AU597" s="55">
        <v>24266060</v>
      </c>
      <c r="AV597" s="99">
        <v>10227987685.6</v>
      </c>
      <c r="AX597" s="74">
        <f t="shared" si="253"/>
        <v>1.1155818268284376E-3</v>
      </c>
    </row>
    <row r="598" spans="1:50" ht="15">
      <c r="A598" s="28">
        <v>44546</v>
      </c>
      <c r="B598" s="118">
        <v>139256035000</v>
      </c>
      <c r="C598" s="118"/>
      <c r="D598" s="118"/>
      <c r="E598" s="118"/>
      <c r="F598" s="120">
        <f t="shared" si="260"/>
        <v>139256035000</v>
      </c>
      <c r="G598" s="120">
        <f t="shared" si="205"/>
        <v>37599129</v>
      </c>
      <c r="H598" s="122">
        <f>J598-I598</f>
        <v>610762000</v>
      </c>
      <c r="I598" s="121"/>
      <c r="J598" s="121">
        <v>610762000</v>
      </c>
      <c r="K598" s="121"/>
      <c r="L598" s="122">
        <f>N598-M598</f>
        <v>5504477000</v>
      </c>
      <c r="M598" s="121"/>
      <c r="N598" s="121">
        <v>5504477000</v>
      </c>
      <c r="O598" s="122">
        <f>Q598-P598</f>
        <v>2210754000</v>
      </c>
      <c r="P598" s="121"/>
      <c r="Q598" s="121">
        <v>2210754000</v>
      </c>
      <c r="R598" s="122">
        <f>T598-S598</f>
        <v>738411000</v>
      </c>
      <c r="S598" s="121"/>
      <c r="T598" s="121">
        <v>738411000</v>
      </c>
      <c r="U598" s="122">
        <f>W598-V598</f>
        <v>135317000</v>
      </c>
      <c r="V598" s="121"/>
      <c r="W598" s="121">
        <v>135317000</v>
      </c>
      <c r="X598" s="121"/>
      <c r="Y598" s="121"/>
      <c r="Z598" s="121"/>
      <c r="AA598" s="121"/>
      <c r="AB598" s="121"/>
      <c r="AC598" s="121"/>
      <c r="AD598" s="121"/>
      <c r="AE598" s="121"/>
      <c r="AF598" s="121"/>
      <c r="AG598" s="121"/>
      <c r="AH598" s="121"/>
      <c r="AI598" s="121"/>
      <c r="AJ598" s="121">
        <f t="shared" si="261"/>
        <v>993570</v>
      </c>
      <c r="AK598" s="124">
        <f>945000*0.3</f>
        <v>283500</v>
      </c>
      <c r="AL598" s="54">
        <v>44546</v>
      </c>
      <c r="AM598" s="125">
        <v>1411</v>
      </c>
      <c r="AN598" s="54">
        <v>4883250</v>
      </c>
      <c r="AO598" s="125">
        <f t="shared" si="252"/>
        <v>3809700</v>
      </c>
      <c r="AP598" s="124"/>
      <c r="AQ598" s="101">
        <v>65222059123488</v>
      </c>
      <c r="AR598" s="100">
        <v>150151996000</v>
      </c>
      <c r="AS598" s="101">
        <v>9801626000</v>
      </c>
      <c r="AT598" s="105">
        <v>149057661000</v>
      </c>
      <c r="AU598" s="55">
        <v>47569149</v>
      </c>
      <c r="AV598" s="99">
        <v>10275556834.6</v>
      </c>
      <c r="AX598" s="74">
        <f t="shared" si="253"/>
        <v>2.2853872294614636E-3</v>
      </c>
    </row>
    <row r="599" spans="1:50" ht="15">
      <c r="A599" s="28">
        <v>44547</v>
      </c>
      <c r="B599" s="65">
        <v>35135175000</v>
      </c>
      <c r="C599" s="65"/>
      <c r="D599" s="141"/>
      <c r="E599" s="65"/>
      <c r="F599" s="65">
        <f>SUM(B599:E599)</f>
        <v>35135175000</v>
      </c>
      <c r="G599" s="65">
        <f t="shared" si="205"/>
        <v>9486497</v>
      </c>
      <c r="H599" s="58">
        <f t="shared" ref="H599:H600" si="262">J599-I599</f>
        <v>1802736000</v>
      </c>
      <c r="I599" s="58"/>
      <c r="J599" s="58">
        <v>1802736000</v>
      </c>
      <c r="K599" s="58"/>
      <c r="L599" s="58">
        <f t="shared" ref="L599:L600" si="263">N599-M599</f>
        <v>5501317000</v>
      </c>
      <c r="M599" s="58"/>
      <c r="N599" s="58">
        <v>5501317000</v>
      </c>
      <c r="O599" s="58">
        <f t="shared" ref="O599:O600" si="264">Q599-P599</f>
        <v>921398000</v>
      </c>
      <c r="P599" s="58"/>
      <c r="Q599" s="58">
        <v>921398000</v>
      </c>
      <c r="R599" s="58">
        <f t="shared" ref="R599:R600" si="265">T599-S599</f>
        <v>606797000</v>
      </c>
      <c r="S599" s="58"/>
      <c r="T599" s="58">
        <v>606797000</v>
      </c>
      <c r="U599" s="58">
        <f t="shared" ref="U599:U600" si="266">W599-V599</f>
        <v>178206000</v>
      </c>
      <c r="V599" s="58"/>
      <c r="W599" s="58">
        <v>178206000</v>
      </c>
      <c r="X599" s="122"/>
      <c r="Y599" s="122"/>
      <c r="Z599" s="122"/>
      <c r="AA599" s="122"/>
      <c r="AB599" s="122"/>
      <c r="AC599" s="122"/>
      <c r="AD599" s="122"/>
      <c r="AE599" s="122"/>
      <c r="AF599" s="122"/>
      <c r="AG599" s="122"/>
      <c r="AH599" s="122"/>
      <c r="AI599" s="122"/>
      <c r="AJ599" s="121">
        <f t="shared" si="261"/>
        <v>973129</v>
      </c>
      <c r="AK599" s="66">
        <v>83207</v>
      </c>
      <c r="AL599" s="54">
        <v>44547</v>
      </c>
      <c r="AM599" s="116">
        <v>337</v>
      </c>
      <c r="AN599" s="42">
        <v>12400650</v>
      </c>
      <c r="AO599" s="125">
        <f t="shared" si="252"/>
        <v>909900</v>
      </c>
      <c r="AP599" s="135"/>
      <c r="AQ599" s="102">
        <v>84495321515024</v>
      </c>
      <c r="AR599" s="102">
        <v>128364004000</v>
      </c>
      <c r="AS599" s="102">
        <v>9655451000</v>
      </c>
      <c r="AT599" s="104">
        <v>44790626000</v>
      </c>
      <c r="AU599" s="55">
        <v>23853383</v>
      </c>
      <c r="AV599" s="99">
        <v>10299410217.6</v>
      </c>
      <c r="AX599" s="74">
        <f t="shared" si="253"/>
        <v>5.3009592953659381E-4</v>
      </c>
    </row>
    <row r="600" spans="1:50" ht="15">
      <c r="A600" s="28">
        <v>44550</v>
      </c>
      <c r="B600" s="56">
        <v>73296580000</v>
      </c>
      <c r="C600" s="56"/>
      <c r="D600" s="56">
        <v>5729175000</v>
      </c>
      <c r="E600" s="56"/>
      <c r="F600" s="65">
        <f t="shared" ref="F600:F603" si="267">SUM(B600:E600)</f>
        <v>79025755000</v>
      </c>
      <c r="G600" s="65">
        <f t="shared" si="205"/>
        <v>21336954</v>
      </c>
      <c r="H600" s="58">
        <f t="shared" si="262"/>
        <v>4159847000</v>
      </c>
      <c r="I600" s="57">
        <v>30546000000</v>
      </c>
      <c r="J600" s="57">
        <v>34705847000</v>
      </c>
      <c r="K600" s="57"/>
      <c r="L600" s="58">
        <f t="shared" si="263"/>
        <v>1379354000</v>
      </c>
      <c r="M600" s="57"/>
      <c r="N600" s="57">
        <v>1379354000</v>
      </c>
      <c r="O600" s="58">
        <f t="shared" si="264"/>
        <v>1464707000</v>
      </c>
      <c r="P600" s="57"/>
      <c r="Q600" s="57">
        <v>1464707000</v>
      </c>
      <c r="R600" s="58">
        <f t="shared" si="265"/>
        <v>1290574000</v>
      </c>
      <c r="S600" s="57"/>
      <c r="T600" s="57">
        <v>1290574000</v>
      </c>
      <c r="U600" s="58">
        <f t="shared" si="266"/>
        <v>204082000</v>
      </c>
      <c r="V600" s="57"/>
      <c r="W600" s="57">
        <v>204082000</v>
      </c>
      <c r="X600" s="121"/>
      <c r="Y600" s="121"/>
      <c r="Z600" s="121"/>
      <c r="AA600" s="121"/>
      <c r="AB600" s="121"/>
      <c r="AC600" s="121"/>
      <c r="AD600" s="121"/>
      <c r="AE600" s="121"/>
      <c r="AF600" s="121"/>
      <c r="AG600" s="121"/>
      <c r="AH600" s="121"/>
      <c r="AI600" s="121"/>
      <c r="AJ600" s="121">
        <f t="shared" si="261"/>
        <v>6416125</v>
      </c>
      <c r="AK600" s="59">
        <f>903600*0.3+300000</f>
        <v>571080</v>
      </c>
      <c r="AL600" s="54">
        <v>44550</v>
      </c>
      <c r="AM600" s="60">
        <v>366</v>
      </c>
      <c r="AN600" s="34">
        <f>2550*1275</f>
        <v>3251250</v>
      </c>
      <c r="AO600" s="125">
        <f t="shared" si="252"/>
        <v>988200</v>
      </c>
      <c r="AP600" s="59"/>
      <c r="AQ600" s="100">
        <v>70410046008982</v>
      </c>
      <c r="AR600" s="100">
        <v>124344000000</v>
      </c>
      <c r="AS600" s="100">
        <v>71069988000</v>
      </c>
      <c r="AT600" s="103">
        <v>150095743000</v>
      </c>
      <c r="AU600" s="55">
        <v>32563609</v>
      </c>
      <c r="AV600" s="99">
        <v>10331973826.6</v>
      </c>
      <c r="AX600" s="74">
        <f t="shared" si="253"/>
        <v>2.1317376071711804E-3</v>
      </c>
    </row>
    <row r="601" spans="1:50" ht="15">
      <c r="A601" s="28">
        <v>44551</v>
      </c>
      <c r="B601" s="56">
        <v>29375225000</v>
      </c>
      <c r="C601" s="56"/>
      <c r="D601" s="56"/>
      <c r="E601" s="56"/>
      <c r="F601" s="65">
        <f t="shared" si="267"/>
        <v>29375225000</v>
      </c>
      <c r="G601" s="65">
        <v>7931312</v>
      </c>
      <c r="H601" s="58">
        <f>J601-I601</f>
        <v>101659000</v>
      </c>
      <c r="I601" s="57"/>
      <c r="J601" s="57">
        <v>101659000</v>
      </c>
      <c r="K601" s="57"/>
      <c r="L601" s="58">
        <f>N601-M601</f>
        <v>4122085000</v>
      </c>
      <c r="M601" s="57"/>
      <c r="N601" s="57">
        <v>4122085000</v>
      </c>
      <c r="O601" s="58">
        <f>Q601-P601</f>
        <v>646214000</v>
      </c>
      <c r="P601" s="57"/>
      <c r="Q601" s="57">
        <v>646214000</v>
      </c>
      <c r="R601" s="58">
        <f>T601-S601</f>
        <v>716363000</v>
      </c>
      <c r="S601" s="57"/>
      <c r="T601" s="57">
        <v>716363000</v>
      </c>
      <c r="U601" s="58">
        <f>W601-V601</f>
        <v>112243000</v>
      </c>
      <c r="V601" s="57"/>
      <c r="W601" s="57">
        <v>112243000</v>
      </c>
      <c r="X601" s="121"/>
      <c r="Y601" s="121"/>
      <c r="Z601" s="121"/>
      <c r="AA601" s="121"/>
      <c r="AB601" s="121"/>
      <c r="AC601" s="121"/>
      <c r="AD601" s="121"/>
      <c r="AE601" s="121"/>
      <c r="AF601" s="121"/>
      <c r="AG601" s="121"/>
      <c r="AH601" s="121"/>
      <c r="AI601" s="121"/>
      <c r="AJ601" s="121">
        <f t="shared" si="261"/>
        <v>615445</v>
      </c>
      <c r="AK601" s="59">
        <f>63400*0.3</f>
        <v>19020</v>
      </c>
      <c r="AL601" s="54">
        <v>44551</v>
      </c>
      <c r="AM601" s="60">
        <v>228</v>
      </c>
      <c r="AN601" s="34">
        <f>2550*1477</f>
        <v>3766350</v>
      </c>
      <c r="AO601" s="125">
        <f t="shared" si="252"/>
        <v>615600</v>
      </c>
      <c r="AP601" s="59">
        <v>1600000</v>
      </c>
      <c r="AQ601" s="100">
        <v>68500484545644</v>
      </c>
      <c r="AR601" s="100">
        <v>22460000000</v>
      </c>
      <c r="AS601" s="100">
        <v>6304918000</v>
      </c>
      <c r="AT601" s="103">
        <v>35680143000</v>
      </c>
      <c r="AU601" s="55">
        <v>14547727</v>
      </c>
      <c r="AV601" s="99">
        <v>10346521553.6</v>
      </c>
      <c r="AX601" s="74">
        <f t="shared" si="253"/>
        <v>5.2087431551269122E-4</v>
      </c>
    </row>
    <row r="602" spans="1:50" ht="15">
      <c r="A602" s="28">
        <v>44552</v>
      </c>
      <c r="B602" s="56">
        <v>47671230000</v>
      </c>
      <c r="C602" s="56">
        <v>14290260000</v>
      </c>
      <c r="D602" s="56"/>
      <c r="E602" s="56"/>
      <c r="F602" s="65">
        <f t="shared" si="267"/>
        <v>61961490000</v>
      </c>
      <c r="G602" s="65">
        <f t="shared" si="205"/>
        <v>16729602</v>
      </c>
      <c r="H602" s="58">
        <f>J602-I602</f>
        <v>7507069000</v>
      </c>
      <c r="I602" s="57"/>
      <c r="J602" s="57">
        <v>7507069000</v>
      </c>
      <c r="K602" s="57"/>
      <c r="L602" s="58">
        <f>N602-M602</f>
        <v>4119191000</v>
      </c>
      <c r="M602" s="57"/>
      <c r="N602" s="57">
        <v>4119191000</v>
      </c>
      <c r="O602" s="58">
        <f>Q602-P602</f>
        <v>5123371000</v>
      </c>
      <c r="P602" s="57"/>
      <c r="Q602" s="57">
        <v>5123371000</v>
      </c>
      <c r="R602" s="58">
        <f>T602-S602</f>
        <v>748486000</v>
      </c>
      <c r="S602" s="57"/>
      <c r="T602" s="57">
        <v>748486000</v>
      </c>
      <c r="U602" s="58">
        <f>W602-V602</f>
        <v>294593000</v>
      </c>
      <c r="V602" s="57"/>
      <c r="W602" s="57">
        <v>294593000</v>
      </c>
      <c r="X602" s="121"/>
      <c r="Y602" s="121"/>
      <c r="Z602" s="121"/>
      <c r="AA602" s="121"/>
      <c r="AB602" s="121"/>
      <c r="AC602" s="121"/>
      <c r="AD602" s="121"/>
      <c r="AE602" s="121"/>
      <c r="AF602" s="121"/>
      <c r="AG602" s="121"/>
      <c r="AH602" s="121"/>
      <c r="AI602" s="121"/>
      <c r="AJ602" s="121">
        <f t="shared" si="261"/>
        <v>1921613</v>
      </c>
      <c r="AK602" s="59">
        <f>684500*0.3</f>
        <v>205350</v>
      </c>
      <c r="AL602" s="54">
        <v>44552</v>
      </c>
      <c r="AM602" s="60">
        <v>498</v>
      </c>
      <c r="AN602" s="34">
        <f>2550*1701</f>
        <v>4337550</v>
      </c>
      <c r="AO602" s="125">
        <f t="shared" si="252"/>
        <v>1344600</v>
      </c>
      <c r="AP602" s="59"/>
      <c r="AQ602" s="100">
        <v>81287483702814</v>
      </c>
      <c r="AR602" s="100">
        <v>106860002000</v>
      </c>
      <c r="AS602" s="100">
        <v>18438185000</v>
      </c>
      <c r="AT602" s="103">
        <v>80399675000</v>
      </c>
      <c r="AU602" s="55">
        <v>24538715</v>
      </c>
      <c r="AV602" s="99">
        <v>10371060268.6</v>
      </c>
      <c r="AX602" s="74">
        <f t="shared" si="253"/>
        <v>9.8907816231512576E-4</v>
      </c>
    </row>
    <row r="603" spans="1:50" ht="15">
      <c r="A603" s="28">
        <v>44553</v>
      </c>
      <c r="B603" s="118">
        <v>104492060000</v>
      </c>
      <c r="C603" s="118">
        <v>5815240000</v>
      </c>
      <c r="D603" s="118"/>
      <c r="E603" s="118"/>
      <c r="F603" s="120">
        <f t="shared" si="267"/>
        <v>110307300000</v>
      </c>
      <c r="G603" s="120">
        <f t="shared" si="205"/>
        <v>29782971</v>
      </c>
      <c r="H603" s="122">
        <f>J603-I603</f>
        <v>16161547000</v>
      </c>
      <c r="I603" s="121"/>
      <c r="J603" s="121">
        <v>16161547000</v>
      </c>
      <c r="K603" s="121"/>
      <c r="L603" s="122">
        <f>N603-M603</f>
        <v>5662113000</v>
      </c>
      <c r="M603" s="121"/>
      <c r="N603" s="121">
        <v>5662113000</v>
      </c>
      <c r="O603" s="122">
        <f>Q603-P603</f>
        <v>1562333000</v>
      </c>
      <c r="P603" s="121"/>
      <c r="Q603" s="121">
        <v>1562333000</v>
      </c>
      <c r="R603" s="122">
        <f>T603-S603</f>
        <v>751786000</v>
      </c>
      <c r="S603" s="121"/>
      <c r="T603" s="121">
        <v>751786000</v>
      </c>
      <c r="U603" s="122">
        <f>W603-V603</f>
        <v>252610000</v>
      </c>
      <c r="V603" s="121"/>
      <c r="W603" s="121">
        <v>252610000</v>
      </c>
      <c r="X603" s="121"/>
      <c r="Y603" s="121"/>
      <c r="Z603" s="121"/>
      <c r="AA603" s="121"/>
      <c r="AB603" s="121"/>
      <c r="AC603" s="121"/>
      <c r="AD603" s="121"/>
      <c r="AE603" s="121"/>
      <c r="AF603" s="121"/>
      <c r="AG603" s="121"/>
      <c r="AH603" s="121"/>
      <c r="AI603" s="121"/>
      <c r="AJ603" s="121">
        <f t="shared" si="261"/>
        <v>2634162</v>
      </c>
      <c r="AK603" s="124">
        <f>715400*0.3</f>
        <v>214620</v>
      </c>
      <c r="AL603" s="54">
        <v>44553</v>
      </c>
      <c r="AM603" s="125">
        <v>1137</v>
      </c>
      <c r="AN603" s="54">
        <f>2550*2148</f>
        <v>5477400</v>
      </c>
      <c r="AO603" s="125">
        <f t="shared" si="252"/>
        <v>3069900</v>
      </c>
      <c r="AP603" s="124"/>
      <c r="AQ603" s="101">
        <v>106253202564542</v>
      </c>
      <c r="AR603" s="100">
        <v>126686002000</v>
      </c>
      <c r="AS603" s="101">
        <v>24992424000</v>
      </c>
      <c r="AT603" s="105">
        <v>135299724000</v>
      </c>
      <c r="AU603" s="55">
        <v>41179053</v>
      </c>
      <c r="AV603" s="99">
        <v>10412239321.6</v>
      </c>
      <c r="AX603" s="74">
        <f t="shared" si="253"/>
        <v>1.2733707853917543E-3</v>
      </c>
    </row>
    <row r="604" spans="1:50" ht="15">
      <c r="A604" s="28">
        <v>44554</v>
      </c>
      <c r="B604" s="65">
        <v>77308080000</v>
      </c>
      <c r="C604" s="65"/>
      <c r="D604" s="141"/>
      <c r="E604" s="65"/>
      <c r="F604" s="65">
        <f>SUM(B604:E604)</f>
        <v>77308080000</v>
      </c>
      <c r="G604" s="65">
        <f t="shared" si="205"/>
        <v>20873182</v>
      </c>
      <c r="H604" s="58">
        <f t="shared" ref="H604:H605" si="268">J604-I604</f>
        <v>17489414000</v>
      </c>
      <c r="I604" s="58">
        <v>5277300000</v>
      </c>
      <c r="J604" s="58">
        <v>22766714000</v>
      </c>
      <c r="K604" s="58"/>
      <c r="L604" s="58">
        <f t="shared" ref="L604:L605" si="269">N604-M604</f>
        <v>1125953000</v>
      </c>
      <c r="M604" s="58"/>
      <c r="N604" s="58">
        <v>1125953000</v>
      </c>
      <c r="O604" s="58">
        <f t="shared" ref="O604:O605" si="270">Q604-P604</f>
        <v>687038000</v>
      </c>
      <c r="P604" s="58"/>
      <c r="Q604" s="58">
        <v>687038000</v>
      </c>
      <c r="R604" s="58">
        <f t="shared" ref="R604:R605" si="271">T604-S604</f>
        <v>1068111000</v>
      </c>
      <c r="S604" s="58"/>
      <c r="T604" s="58">
        <v>1068111000</v>
      </c>
      <c r="U604" s="58">
        <f t="shared" ref="U604:U605" si="272">W604-V604</f>
        <v>247132000</v>
      </c>
      <c r="V604" s="58"/>
      <c r="W604" s="58">
        <v>247132000</v>
      </c>
      <c r="X604" s="122"/>
      <c r="Y604" s="122"/>
      <c r="Z604" s="122"/>
      <c r="AA604" s="122"/>
      <c r="AB604" s="122"/>
      <c r="AC604" s="122"/>
      <c r="AD604" s="122"/>
      <c r="AE604" s="122"/>
      <c r="AF604" s="122"/>
      <c r="AG604" s="122"/>
      <c r="AH604" s="122"/>
      <c r="AI604" s="122"/>
      <c r="AJ604" s="121">
        <f t="shared" si="261"/>
        <v>3176620</v>
      </c>
      <c r="AK604" s="66">
        <f>1382700*0.3</f>
        <v>414810</v>
      </c>
      <c r="AL604" s="54">
        <v>44554</v>
      </c>
      <c r="AM604" s="116">
        <v>710</v>
      </c>
      <c r="AN604" s="42">
        <f>2550*3*2026</f>
        <v>15498900</v>
      </c>
      <c r="AO604" s="125">
        <f t="shared" si="252"/>
        <v>1917000</v>
      </c>
      <c r="AP604" s="135"/>
      <c r="AQ604" s="102">
        <v>61787513695030</v>
      </c>
      <c r="AR604" s="102">
        <v>100902982000</v>
      </c>
      <c r="AS604" s="102">
        <v>35956573000</v>
      </c>
      <c r="AT604" s="104">
        <v>113264653000</v>
      </c>
      <c r="AU604" s="55">
        <v>41880512</v>
      </c>
      <c r="AV604" s="99">
        <v>10454119833.6</v>
      </c>
      <c r="AX604" s="74">
        <f t="shared" si="253"/>
        <v>1.83313174825338E-3</v>
      </c>
    </row>
    <row r="605" spans="1:50" ht="15">
      <c r="A605" s="28">
        <v>44557</v>
      </c>
      <c r="B605" s="56">
        <v>41796690000</v>
      </c>
      <c r="C605" s="56"/>
      <c r="D605" s="56"/>
      <c r="E605" s="56"/>
      <c r="F605" s="65">
        <f t="shared" ref="F605:F608" si="273">SUM(B605:E605)</f>
        <v>41796690000</v>
      </c>
      <c r="G605" s="65">
        <f t="shared" si="205"/>
        <v>11285106</v>
      </c>
      <c r="H605" s="58">
        <f t="shared" si="268"/>
        <v>7407421000</v>
      </c>
      <c r="I605" s="57"/>
      <c r="J605" s="57">
        <v>7407421000</v>
      </c>
      <c r="K605" s="57"/>
      <c r="L605" s="58">
        <f t="shared" si="269"/>
        <v>8296632000</v>
      </c>
      <c r="M605" s="57"/>
      <c r="N605" s="57">
        <v>8296632000</v>
      </c>
      <c r="O605" s="58">
        <f t="shared" si="270"/>
        <v>7561337000</v>
      </c>
      <c r="P605" s="57"/>
      <c r="Q605" s="57">
        <v>7561337000</v>
      </c>
      <c r="R605" s="58">
        <f t="shared" si="271"/>
        <v>743084000</v>
      </c>
      <c r="S605" s="57"/>
      <c r="T605" s="57">
        <v>743084000</v>
      </c>
      <c r="U605" s="58">
        <f t="shared" si="272"/>
        <v>102556000</v>
      </c>
      <c r="V605" s="57"/>
      <c r="W605" s="57">
        <v>102556000</v>
      </c>
      <c r="X605" s="121"/>
      <c r="Y605" s="121"/>
      <c r="Z605" s="121"/>
      <c r="AA605" s="121"/>
      <c r="AB605" s="121"/>
      <c r="AC605" s="121"/>
      <c r="AD605" s="121"/>
      <c r="AE605" s="121"/>
      <c r="AF605" s="121"/>
      <c r="AG605" s="121"/>
      <c r="AH605" s="121"/>
      <c r="AI605" s="121"/>
      <c r="AJ605" s="121">
        <f t="shared" si="261"/>
        <v>2603991</v>
      </c>
      <c r="AK605" s="59">
        <f>1071200*0.3+104000*0.3</f>
        <v>352560</v>
      </c>
      <c r="AL605" s="54">
        <v>44557</v>
      </c>
      <c r="AM605" s="60">
        <v>294</v>
      </c>
      <c r="AN605" s="34">
        <f>2550*1958</f>
        <v>4992900</v>
      </c>
      <c r="AO605" s="125">
        <f t="shared" si="252"/>
        <v>793800</v>
      </c>
      <c r="AP605" s="59"/>
      <c r="AQ605" s="100">
        <v>54351804528546</v>
      </c>
      <c r="AR605" s="100">
        <v>139077996000</v>
      </c>
      <c r="AS605" s="100">
        <v>24707729000</v>
      </c>
      <c r="AT605" s="103">
        <v>66504419000</v>
      </c>
      <c r="AU605" s="55">
        <v>20028357</v>
      </c>
      <c r="AV605" s="99">
        <v>10474148190.6</v>
      </c>
      <c r="AX605" s="74">
        <f t="shared" si="253"/>
        <v>1.2235917386159893E-3</v>
      </c>
    </row>
    <row r="606" spans="1:50" ht="15">
      <c r="A606" s="28">
        <v>44558</v>
      </c>
      <c r="B606" s="56">
        <v>55362660000</v>
      </c>
      <c r="C606" s="56"/>
      <c r="D606" s="56"/>
      <c r="E606" s="56"/>
      <c r="F606" s="65">
        <f t="shared" si="273"/>
        <v>55362660000</v>
      </c>
      <c r="G606" s="65">
        <f t="shared" si="205"/>
        <v>14947918</v>
      </c>
      <c r="H606" s="58">
        <f t="shared" ref="H606:H609" si="274">J606-I606</f>
        <v>4689609000</v>
      </c>
      <c r="I606" s="57"/>
      <c r="J606" s="57">
        <v>4689609000</v>
      </c>
      <c r="K606" s="57"/>
      <c r="L606" s="58">
        <f t="shared" ref="L606:L609" si="275">N606-M606</f>
        <v>1476511000</v>
      </c>
      <c r="M606" s="57"/>
      <c r="N606" s="57">
        <v>1476511000</v>
      </c>
      <c r="O606" s="58">
        <f t="shared" ref="O606:O609" si="276">Q606-P606</f>
        <v>7236486000</v>
      </c>
      <c r="P606" s="57"/>
      <c r="Q606" s="57">
        <v>7236486000</v>
      </c>
      <c r="R606" s="58">
        <f t="shared" ref="R606:R609" si="277">T606-S606</f>
        <v>866557000</v>
      </c>
      <c r="S606" s="57"/>
      <c r="T606" s="57">
        <v>866557000</v>
      </c>
      <c r="U606" s="58">
        <f t="shared" ref="U606:U609" si="278">W606-V606</f>
        <v>41273000</v>
      </c>
      <c r="V606" s="57"/>
      <c r="W606" s="57">
        <v>41273000</v>
      </c>
      <c r="X606" s="121"/>
      <c r="Y606" s="121"/>
      <c r="Z606" s="121"/>
      <c r="AA606" s="121"/>
      <c r="AB606" s="121"/>
      <c r="AC606" s="121"/>
      <c r="AD606" s="121"/>
      <c r="AE606" s="121"/>
      <c r="AF606" s="121"/>
      <c r="AG606" s="121"/>
      <c r="AH606" s="121"/>
      <c r="AI606" s="121"/>
      <c r="AJ606" s="121">
        <f t="shared" si="261"/>
        <v>1545527</v>
      </c>
      <c r="AK606" s="59">
        <f>959500*0.3</f>
        <v>287850</v>
      </c>
      <c r="AL606" s="54">
        <v>44558</v>
      </c>
      <c r="AM606" s="60">
        <v>466</v>
      </c>
      <c r="AN606" s="34">
        <f>2550*1870</f>
        <v>4768500</v>
      </c>
      <c r="AO606" s="125">
        <f t="shared" si="252"/>
        <v>1258200</v>
      </c>
      <c r="AP606" s="59">
        <v>16808221</v>
      </c>
      <c r="AQ606" s="100">
        <v>72084562217626</v>
      </c>
      <c r="AR606" s="100">
        <v>190254456000</v>
      </c>
      <c r="AS606" s="100">
        <v>16179150000</v>
      </c>
      <c r="AT606" s="103">
        <v>71541810000</v>
      </c>
      <c r="AU606" s="55">
        <v>39616216</v>
      </c>
      <c r="AV606" s="99">
        <v>10513764406.6</v>
      </c>
      <c r="AX606" s="74">
        <f t="shared" si="253"/>
        <v>9.9247061782816392E-4</v>
      </c>
    </row>
    <row r="607" spans="1:50" ht="15">
      <c r="A607" s="28">
        <v>44559</v>
      </c>
      <c r="B607" s="56">
        <v>35249215000</v>
      </c>
      <c r="C607" s="56">
        <v>5194300000</v>
      </c>
      <c r="D607" s="56">
        <v>5825930000</v>
      </c>
      <c r="E607" s="56"/>
      <c r="F607" s="65">
        <f t="shared" si="273"/>
        <v>46269445000</v>
      </c>
      <c r="G607" s="65">
        <f t="shared" si="205"/>
        <v>12492750</v>
      </c>
      <c r="H607" s="58">
        <f t="shared" si="274"/>
        <v>7675885000</v>
      </c>
      <c r="I607" s="57"/>
      <c r="J607" s="57">
        <v>7675885000</v>
      </c>
      <c r="K607" s="57"/>
      <c r="L607" s="58">
        <f t="shared" si="275"/>
        <v>2402734000</v>
      </c>
      <c r="M607" s="57"/>
      <c r="N607" s="57">
        <v>2402734000</v>
      </c>
      <c r="O607" s="58">
        <f t="shared" si="276"/>
        <v>1047200000</v>
      </c>
      <c r="P607" s="57"/>
      <c r="Q607" s="57">
        <v>1047200000</v>
      </c>
      <c r="R607" s="58">
        <f t="shared" si="277"/>
        <v>712269000</v>
      </c>
      <c r="S607" s="57"/>
      <c r="T607" s="57">
        <v>712269000</v>
      </c>
      <c r="U607" s="58">
        <f t="shared" si="278"/>
        <v>169488000</v>
      </c>
      <c r="V607" s="57"/>
      <c r="W607" s="57">
        <v>169488000</v>
      </c>
      <c r="X607" s="121"/>
      <c r="Y607" s="121"/>
      <c r="Z607" s="121"/>
      <c r="AA607" s="121"/>
      <c r="AB607" s="121"/>
      <c r="AC607" s="121"/>
      <c r="AD607" s="121"/>
      <c r="AE607" s="121"/>
      <c r="AF607" s="121"/>
      <c r="AG607" s="121"/>
      <c r="AH607" s="121"/>
      <c r="AI607" s="121"/>
      <c r="AJ607" s="121">
        <f t="shared" si="261"/>
        <v>1296818</v>
      </c>
      <c r="AK607" s="59">
        <f>902400*0.3</f>
        <v>270720</v>
      </c>
      <c r="AL607" s="54">
        <v>44559</v>
      </c>
      <c r="AM607" s="60">
        <v>325</v>
      </c>
      <c r="AN607" s="34">
        <f>2550*1697</f>
        <v>4327350</v>
      </c>
      <c r="AO607" s="125">
        <f t="shared" si="252"/>
        <v>877500</v>
      </c>
      <c r="AP607" s="59">
        <v>19798230</v>
      </c>
      <c r="AQ607" s="100">
        <v>62495012317304</v>
      </c>
      <c r="AR607" s="100">
        <v>120315190000</v>
      </c>
      <c r="AS607" s="100">
        <v>13143189000</v>
      </c>
      <c r="AT607" s="103">
        <v>59412634000</v>
      </c>
      <c r="AU607" s="55">
        <v>39063368</v>
      </c>
      <c r="AV607" s="99">
        <v>10552827774.6</v>
      </c>
      <c r="AX607" s="74">
        <f t="shared" si="253"/>
        <v>9.5067801088422966E-4</v>
      </c>
    </row>
    <row r="608" spans="1:50" ht="15">
      <c r="A608" s="28">
        <v>44560</v>
      </c>
      <c r="B608" s="118">
        <v>23236520000</v>
      </c>
      <c r="C608" s="118">
        <v>1672185000</v>
      </c>
      <c r="D608" s="118">
        <v>5858480000</v>
      </c>
      <c r="E608" s="118">
        <v>4428195000</v>
      </c>
      <c r="F608" s="120">
        <f t="shared" si="273"/>
        <v>35195380000</v>
      </c>
      <c r="G608" s="120">
        <f t="shared" si="205"/>
        <v>9502753</v>
      </c>
      <c r="H608" s="122">
        <f t="shared" si="274"/>
        <v>14883215000</v>
      </c>
      <c r="I608" s="121"/>
      <c r="J608" s="121">
        <v>14883215000</v>
      </c>
      <c r="K608" s="121"/>
      <c r="L608" s="122">
        <f t="shared" si="275"/>
        <v>4454892000</v>
      </c>
      <c r="M608" s="121"/>
      <c r="N608" s="121">
        <v>4454892000</v>
      </c>
      <c r="O608" s="122">
        <f t="shared" si="276"/>
        <v>486546000</v>
      </c>
      <c r="P608" s="121"/>
      <c r="Q608" s="121">
        <v>486546000</v>
      </c>
      <c r="R608" s="122">
        <f t="shared" si="277"/>
        <v>713623000</v>
      </c>
      <c r="S608" s="121"/>
      <c r="T608" s="121">
        <v>713623000</v>
      </c>
      <c r="U608" s="122">
        <f t="shared" si="278"/>
        <v>67871000</v>
      </c>
      <c r="V608" s="121"/>
      <c r="W608" s="121">
        <v>67871000</v>
      </c>
      <c r="X608" s="121"/>
      <c r="Y608" s="121"/>
      <c r="Z608" s="121"/>
      <c r="AA608" s="121"/>
      <c r="AB608" s="121"/>
      <c r="AC608" s="121"/>
      <c r="AD608" s="121"/>
      <c r="AE608" s="121"/>
      <c r="AF608" s="121"/>
      <c r="AG608" s="121"/>
      <c r="AH608" s="121"/>
      <c r="AI608" s="121"/>
      <c r="AJ608" s="121">
        <f t="shared" si="261"/>
        <v>2225464</v>
      </c>
      <c r="AK608" s="124">
        <f>234800*0.3</f>
        <v>70440</v>
      </c>
      <c r="AL608" s="54">
        <v>44560</v>
      </c>
      <c r="AM608" s="125">
        <v>288</v>
      </c>
      <c r="AN608" s="54">
        <f>2550*1943</f>
        <v>4954650</v>
      </c>
      <c r="AO608" s="125">
        <f t="shared" si="252"/>
        <v>777600</v>
      </c>
      <c r="AP608" s="124"/>
      <c r="AQ608" s="101">
        <v>55850694258472</v>
      </c>
      <c r="AR608" s="100">
        <v>62070000000</v>
      </c>
      <c r="AS608" s="101">
        <v>22375775000</v>
      </c>
      <c r="AT608" s="105">
        <v>57571155000</v>
      </c>
      <c r="AU608" s="55">
        <v>17530907</v>
      </c>
      <c r="AV608" s="99">
        <v>10570358681.6</v>
      </c>
      <c r="AX608" s="74">
        <f t="shared" si="253"/>
        <v>1.0308046437805386E-3</v>
      </c>
    </row>
    <row r="609" spans="1:50" ht="15">
      <c r="A609" s="28">
        <v>44561</v>
      </c>
      <c r="B609" s="56">
        <v>4746790000</v>
      </c>
      <c r="C609" s="56"/>
      <c r="D609" s="56"/>
      <c r="E609" s="56"/>
      <c r="F609" s="56">
        <f t="shared" ref="F609" si="279">SUM(B609:E609)</f>
        <v>4746790000</v>
      </c>
      <c r="G609" s="56">
        <f t="shared" si="205"/>
        <v>1281633</v>
      </c>
      <c r="H609" s="57">
        <f t="shared" si="274"/>
        <v>519183000</v>
      </c>
      <c r="I609" s="57"/>
      <c r="J609" s="57">
        <v>519183000</v>
      </c>
      <c r="K609" s="57"/>
      <c r="L609" s="122">
        <f t="shared" si="275"/>
        <v>5306140000</v>
      </c>
      <c r="M609" s="57"/>
      <c r="N609" s="57">
        <v>5306140000</v>
      </c>
      <c r="O609" s="122">
        <f t="shared" si="276"/>
        <v>3757597000</v>
      </c>
      <c r="P609" s="57"/>
      <c r="Q609" s="57">
        <v>3757597000</v>
      </c>
      <c r="R609" s="122">
        <f t="shared" si="277"/>
        <v>691407000</v>
      </c>
      <c r="S609" s="57"/>
      <c r="T609" s="57">
        <v>691407000</v>
      </c>
      <c r="U609" s="122">
        <f t="shared" si="278"/>
        <v>463466000</v>
      </c>
      <c r="V609" s="57"/>
      <c r="W609" s="57">
        <v>463466000</v>
      </c>
      <c r="X609" s="121"/>
      <c r="Y609" s="121"/>
      <c r="Z609" s="121"/>
      <c r="AA609" s="121"/>
      <c r="AB609" s="121"/>
      <c r="AC609" s="121"/>
      <c r="AD609" s="121"/>
      <c r="AE609" s="121"/>
      <c r="AF609" s="121"/>
      <c r="AG609" s="121"/>
      <c r="AH609" s="121"/>
      <c r="AI609" s="121"/>
      <c r="AJ609" s="121">
        <f t="shared" si="261"/>
        <v>1159682</v>
      </c>
      <c r="AK609" s="59">
        <f>127200*0.3</f>
        <v>38160</v>
      </c>
      <c r="AL609" s="34">
        <v>44561</v>
      </c>
      <c r="AM609" s="60">
        <v>105</v>
      </c>
      <c r="AN609" s="34">
        <f>1978*2550</f>
        <v>5043900</v>
      </c>
      <c r="AO609" s="125">
        <f t="shared" si="252"/>
        <v>283500</v>
      </c>
      <c r="AP609" s="59"/>
      <c r="AQ609" s="100">
        <v>62904049100346</v>
      </c>
      <c r="AR609" s="100">
        <v>125518004000</v>
      </c>
      <c r="AS609" s="100">
        <v>11344243000</v>
      </c>
      <c r="AT609" s="100">
        <v>16091033000</v>
      </c>
      <c r="AU609" s="55">
        <v>7806875</v>
      </c>
      <c r="AV609" s="99">
        <v>10578165556.6</v>
      </c>
      <c r="AX609" s="74">
        <f t="shared" si="253"/>
        <v>2.5580281762675104E-4</v>
      </c>
    </row>
    <row r="610" spans="1:50" ht="15">
      <c r="A610" s="28">
        <v>44565</v>
      </c>
      <c r="B610" s="56">
        <v>58455275000</v>
      </c>
      <c r="C610" s="56"/>
      <c r="D610" s="56"/>
      <c r="E610" s="56"/>
      <c r="F610" s="65">
        <f t="shared" ref="F610:F628" si="280">SUM(B610:E610)</f>
        <v>58455275000</v>
      </c>
      <c r="G610" s="65">
        <f>ROUND(F610*0.027%,0)</f>
        <v>15782924</v>
      </c>
      <c r="H610" s="58">
        <f>J610-I610</f>
        <v>12654452000</v>
      </c>
      <c r="I610" s="57">
        <v>11180000000</v>
      </c>
      <c r="J610" s="57">
        <v>23834452000</v>
      </c>
      <c r="K610" s="57"/>
      <c r="L610" s="58">
        <f>N610-M610</f>
        <v>20870344000</v>
      </c>
      <c r="M610" s="57"/>
      <c r="N610" s="57">
        <v>20870344000</v>
      </c>
      <c r="O610" s="58">
        <f>Q610-P610</f>
        <v>5135480000</v>
      </c>
      <c r="P610" s="57"/>
      <c r="Q610" s="57">
        <v>5135480000</v>
      </c>
      <c r="R610" s="58">
        <f>T610-S610</f>
        <v>1063505000</v>
      </c>
      <c r="S610" s="57"/>
      <c r="T610" s="57">
        <v>1063505000</v>
      </c>
      <c r="U610" s="58">
        <f>W610-V610</f>
        <v>230551000</v>
      </c>
      <c r="V610" s="57"/>
      <c r="W610" s="57">
        <v>230551000</v>
      </c>
      <c r="X610" s="121"/>
      <c r="Y610" s="121"/>
      <c r="Z610" s="121"/>
      <c r="AA610" s="121"/>
      <c r="AB610" s="121"/>
      <c r="AC610" s="121"/>
      <c r="AD610" s="121"/>
      <c r="AE610" s="121"/>
      <c r="AF610" s="121"/>
      <c r="AG610" s="121"/>
      <c r="AH610" s="121"/>
      <c r="AI610" s="121"/>
      <c r="AJ610" s="121">
        <f t="shared" si="261"/>
        <v>6327468</v>
      </c>
      <c r="AK610" s="59">
        <f>1497500*0.3</f>
        <v>449250</v>
      </c>
      <c r="AL610" s="54">
        <v>44565</v>
      </c>
      <c r="AM610" s="60">
        <v>679</v>
      </c>
      <c r="AN610" s="34">
        <f>1978*2*2550+1835*2550</f>
        <v>14767050</v>
      </c>
      <c r="AO610" s="125">
        <f t="shared" ref="AO610:AO636" si="281">AM610*2700</f>
        <v>1833300</v>
      </c>
      <c r="AP610" s="59"/>
      <c r="AQ610" s="100">
        <v>68692803804852</v>
      </c>
      <c r="AR610" s="100">
        <v>234643452000</v>
      </c>
      <c r="AS610" s="100">
        <v>51750433000</v>
      </c>
      <c r="AT610" s="103">
        <v>110205708000</v>
      </c>
      <c r="AU610" s="55">
        <f t="shared" ref="AU610:AU641" si="282">G610+AJ610+AK610+AN610+AO610+AP610</f>
        <v>39159992</v>
      </c>
      <c r="AV610" s="99">
        <f t="shared" ref="AV610:AV612" si="283">AV609+AU610</f>
        <v>10617325548.6</v>
      </c>
      <c r="AX610" s="74">
        <f>AT610/AQ610</f>
        <v>1.6043268274953688E-3</v>
      </c>
    </row>
    <row r="611" spans="1:50" ht="15">
      <c r="A611" s="28">
        <v>44566</v>
      </c>
      <c r="B611" s="56">
        <v>93658235000</v>
      </c>
      <c r="C611" s="56"/>
      <c r="D611" s="56"/>
      <c r="E611" s="56"/>
      <c r="F611" s="65">
        <f t="shared" si="280"/>
        <v>93658235000</v>
      </c>
      <c r="G611" s="65">
        <f>ROUND(F611*0.027%,0)</f>
        <v>25287723</v>
      </c>
      <c r="H611" s="58">
        <f>J611-I611</f>
        <v>19947827000</v>
      </c>
      <c r="I611" s="57"/>
      <c r="J611" s="57">
        <v>19947827000</v>
      </c>
      <c r="K611" s="57"/>
      <c r="L611" s="58">
        <f>N611-M611</f>
        <v>4831337000</v>
      </c>
      <c r="M611" s="57"/>
      <c r="N611" s="57">
        <v>4831337000</v>
      </c>
      <c r="O611" s="58">
        <f>Q611-P611</f>
        <v>410863000</v>
      </c>
      <c r="P611" s="57"/>
      <c r="Q611" s="57">
        <v>410863000</v>
      </c>
      <c r="R611" s="58">
        <f>T611-S611</f>
        <v>705176000</v>
      </c>
      <c r="S611" s="57"/>
      <c r="T611" s="57">
        <v>705176000</v>
      </c>
      <c r="U611" s="58">
        <f>W611-V611</f>
        <v>130673000</v>
      </c>
      <c r="V611" s="57"/>
      <c r="W611" s="57">
        <v>130673000</v>
      </c>
      <c r="X611" s="121"/>
      <c r="Y611" s="121"/>
      <c r="Z611" s="121"/>
      <c r="AA611" s="121"/>
      <c r="AB611" s="121"/>
      <c r="AC611" s="121"/>
      <c r="AD611" s="121"/>
      <c r="AE611" s="121"/>
      <c r="AF611" s="121"/>
      <c r="AG611" s="121"/>
      <c r="AH611" s="121"/>
      <c r="AI611" s="121"/>
      <c r="AJ611" s="121">
        <f t="shared" si="261"/>
        <v>2810795</v>
      </c>
      <c r="AK611" s="59">
        <f>1710000*0.3</f>
        <v>513000</v>
      </c>
      <c r="AL611" s="54">
        <v>44566</v>
      </c>
      <c r="AM611" s="60">
        <v>763</v>
      </c>
      <c r="AN611" s="34">
        <f>1580*2550</f>
        <v>4029000</v>
      </c>
      <c r="AO611" s="125">
        <f t="shared" si="281"/>
        <v>2060100</v>
      </c>
      <c r="AP611" s="59"/>
      <c r="AQ611" s="100">
        <v>80249401037010</v>
      </c>
      <c r="AR611" s="100">
        <v>147218000000</v>
      </c>
      <c r="AS611" s="100">
        <v>26704958000</v>
      </c>
      <c r="AT611" s="103">
        <v>120363193000</v>
      </c>
      <c r="AU611" s="55">
        <f t="shared" si="282"/>
        <v>34700618</v>
      </c>
      <c r="AV611" s="99">
        <f t="shared" si="283"/>
        <v>10652026166.6</v>
      </c>
      <c r="AX611" s="74">
        <f>AT611/AQ611</f>
        <v>1.4998640668294836E-3</v>
      </c>
    </row>
    <row r="612" spans="1:50" ht="15">
      <c r="A612" s="28">
        <v>44567</v>
      </c>
      <c r="B612" s="118">
        <v>52952995000</v>
      </c>
      <c r="C612" s="118"/>
      <c r="D612" s="118"/>
      <c r="E612" s="118"/>
      <c r="F612" s="120">
        <f t="shared" si="280"/>
        <v>52952995000</v>
      </c>
      <c r="G612" s="120">
        <f>ROUND(F612*0.027%,0)</f>
        <v>14297309</v>
      </c>
      <c r="H612" s="122">
        <f>J612-I612</f>
        <v>20386304000</v>
      </c>
      <c r="I612" s="121">
        <f>7801500000+2600000000</f>
        <v>10401500000</v>
      </c>
      <c r="J612" s="121">
        <v>30787804000</v>
      </c>
      <c r="K612" s="121"/>
      <c r="L612" s="122">
        <f>N612-M612</f>
        <v>14182381000</v>
      </c>
      <c r="M612" s="121"/>
      <c r="N612" s="121">
        <v>14182381000</v>
      </c>
      <c r="O612" s="122">
        <f>Q612-P612</f>
        <v>9691357000</v>
      </c>
      <c r="P612" s="121"/>
      <c r="Q612" s="121">
        <v>9691357000</v>
      </c>
      <c r="R612" s="122">
        <f>T612-S612</f>
        <v>763103000</v>
      </c>
      <c r="S612" s="121"/>
      <c r="T612" s="121">
        <v>763103000</v>
      </c>
      <c r="U612" s="122">
        <f>W612-V612</f>
        <v>109184000</v>
      </c>
      <c r="V612" s="121"/>
      <c r="W612" s="121">
        <v>109184000</v>
      </c>
      <c r="X612" s="121"/>
      <c r="Y612" s="121"/>
      <c r="Z612" s="121"/>
      <c r="AA612" s="121"/>
      <c r="AB612" s="121"/>
      <c r="AC612" s="121"/>
      <c r="AD612" s="121"/>
      <c r="AE612" s="121"/>
      <c r="AF612" s="121"/>
      <c r="AG612" s="121"/>
      <c r="AH612" s="121"/>
      <c r="AI612" s="121"/>
      <c r="AJ612" s="121">
        <f t="shared" si="261"/>
        <v>6746562</v>
      </c>
      <c r="AK612" s="124">
        <f>531600*0.3</f>
        <v>159480</v>
      </c>
      <c r="AL612" s="54">
        <v>44567</v>
      </c>
      <c r="AM612" s="125">
        <v>645</v>
      </c>
      <c r="AN612" s="54">
        <f>1947*2550</f>
        <v>4964850</v>
      </c>
      <c r="AO612" s="125">
        <f t="shared" si="281"/>
        <v>1741500</v>
      </c>
      <c r="AP612" s="124"/>
      <c r="AQ612" s="101">
        <v>85689664732642</v>
      </c>
      <c r="AR612" s="100">
        <v>288178574000</v>
      </c>
      <c r="AS612" s="101">
        <v>56372429000</v>
      </c>
      <c r="AT612" s="105">
        <v>109325424000</v>
      </c>
      <c r="AU612" s="55">
        <f t="shared" si="282"/>
        <v>27909701</v>
      </c>
      <c r="AV612" s="99">
        <f t="shared" si="283"/>
        <v>10679935867.6</v>
      </c>
      <c r="AX612" s="74">
        <f>AT612/AQ612</f>
        <v>1.2758297554448753E-3</v>
      </c>
    </row>
    <row r="613" spans="1:50" ht="15">
      <c r="A613" s="28">
        <v>44568</v>
      </c>
      <c r="B613" s="65">
        <v>56277710000</v>
      </c>
      <c r="C613" s="65"/>
      <c r="D613" s="141"/>
      <c r="E613" s="65"/>
      <c r="F613" s="65">
        <f t="shared" si="280"/>
        <v>56277710000</v>
      </c>
      <c r="G613" s="65">
        <f t="shared" ref="G613:G620" si="284">ROUND(F613*0.027%,0)</f>
        <v>15194982</v>
      </c>
      <c r="H613" s="58">
        <f t="shared" ref="H613:H614" si="285">J613-I613</f>
        <v>19521365000</v>
      </c>
      <c r="I613" s="58"/>
      <c r="J613" s="58">
        <v>19521365000</v>
      </c>
      <c r="K613" s="58"/>
      <c r="L613" s="58">
        <f t="shared" ref="L613:L614" si="286">N613-M613</f>
        <v>13707385000</v>
      </c>
      <c r="M613" s="58"/>
      <c r="N613" s="58">
        <v>13707385000</v>
      </c>
      <c r="O613" s="58">
        <f t="shared" ref="O613:O614" si="287">Q613-P613</f>
        <v>1779781000</v>
      </c>
      <c r="P613" s="58"/>
      <c r="Q613" s="58">
        <v>1779781000</v>
      </c>
      <c r="R613" s="58">
        <f t="shared" ref="R613:R614" si="288">T613-S613</f>
        <v>1029668000</v>
      </c>
      <c r="S613" s="58"/>
      <c r="T613" s="58">
        <v>1029668000</v>
      </c>
      <c r="U613" s="58">
        <f t="shared" ref="U613:U614" si="289">W613-V613</f>
        <v>93149000</v>
      </c>
      <c r="V613" s="58"/>
      <c r="W613" s="58">
        <v>93149000</v>
      </c>
      <c r="X613" s="58">
        <f t="shared" ref="X613:X614" si="290">Z613-Y613</f>
        <v>32600825000</v>
      </c>
      <c r="Y613" s="122"/>
      <c r="Z613" s="122">
        <v>32600825000</v>
      </c>
      <c r="AA613" s="122"/>
      <c r="AB613" s="122"/>
      <c r="AC613" s="122"/>
      <c r="AD613" s="122"/>
      <c r="AE613" s="122"/>
      <c r="AF613" s="122"/>
      <c r="AG613" s="122"/>
      <c r="AH613" s="122"/>
      <c r="AI613" s="122"/>
      <c r="AJ613" s="121">
        <f>ROUND(H613*0.0108%+I613*0.018%+K613*0.018%+L613*0.0108%+M613*0.018%+O613*0.0108%+P613*0.018%+R613*0.0108%+S613*0.018%+V613*0.018%+U613*0.0108%+X613*0.0108%+Y613*0.018%,0)</f>
        <v>7423075</v>
      </c>
      <c r="AK613" s="66">
        <f>(3662400-3218300)*0.3+300000</f>
        <v>433230</v>
      </c>
      <c r="AL613" s="54">
        <v>44568</v>
      </c>
      <c r="AM613" s="116">
        <v>665</v>
      </c>
      <c r="AN613" s="42">
        <f>2186*2550*3</f>
        <v>16722900</v>
      </c>
      <c r="AO613" s="125">
        <f t="shared" si="281"/>
        <v>1795500</v>
      </c>
      <c r="AP613" s="135"/>
      <c r="AQ613" s="102">
        <v>78267476680550</v>
      </c>
      <c r="AR613" s="102">
        <v>255231996000</v>
      </c>
      <c r="AS613" s="102">
        <v>100636908000</v>
      </c>
      <c r="AT613" s="104">
        <v>156914618000</v>
      </c>
      <c r="AU613" s="55">
        <f t="shared" si="282"/>
        <v>41569687</v>
      </c>
      <c r="AV613" s="99">
        <f t="shared" ref="AV613:AV617" si="291">AV612+AU613</f>
        <v>10721505554.6</v>
      </c>
      <c r="AX613" s="74">
        <f t="shared" ref="AX613:AX632" si="292">AT613/AQ613</f>
        <v>2.0048508608556479E-3</v>
      </c>
    </row>
    <row r="614" spans="1:50" ht="15">
      <c r="A614" s="28">
        <v>44571</v>
      </c>
      <c r="B614" s="56">
        <v>39283560000</v>
      </c>
      <c r="C614" s="56">
        <v>8278850000</v>
      </c>
      <c r="D614" s="56">
        <v>5822235000</v>
      </c>
      <c r="E614" s="56"/>
      <c r="F614" s="65">
        <f t="shared" si="280"/>
        <v>53384645000</v>
      </c>
      <c r="G614" s="65">
        <f t="shared" si="284"/>
        <v>14413854</v>
      </c>
      <c r="H614" s="58">
        <f t="shared" si="285"/>
        <v>14559017000</v>
      </c>
      <c r="I614" s="57">
        <v>3584000000</v>
      </c>
      <c r="J614" s="57">
        <v>18143017000</v>
      </c>
      <c r="K614" s="57"/>
      <c r="L614" s="58">
        <f t="shared" si="286"/>
        <v>16412775000</v>
      </c>
      <c r="M614" s="57"/>
      <c r="N614" s="57">
        <v>16412775000</v>
      </c>
      <c r="O614" s="58">
        <f t="shared" si="287"/>
        <v>3506977000</v>
      </c>
      <c r="P614" s="57"/>
      <c r="Q614" s="57">
        <v>3506977000</v>
      </c>
      <c r="R614" s="58">
        <f t="shared" si="288"/>
        <v>1605792000</v>
      </c>
      <c r="S614" s="57"/>
      <c r="T614" s="57">
        <v>1605792000</v>
      </c>
      <c r="U614" s="58">
        <f t="shared" si="289"/>
        <v>106195000</v>
      </c>
      <c r="V614" s="57"/>
      <c r="W614" s="57">
        <v>106195000</v>
      </c>
      <c r="X614" s="58">
        <f t="shared" si="290"/>
        <v>2913372000</v>
      </c>
      <c r="Y614" s="121"/>
      <c r="Z614" s="121">
        <v>2913372000</v>
      </c>
      <c r="AA614" s="121"/>
      <c r="AB614" s="121"/>
      <c r="AC614" s="121"/>
      <c r="AD614" s="121"/>
      <c r="AE614" s="121"/>
      <c r="AF614" s="121"/>
      <c r="AG614" s="121"/>
      <c r="AH614" s="121"/>
      <c r="AI614" s="121"/>
      <c r="AJ614" s="121">
        <f>ROUND(H614*0.0108%+I614*0.018%+K614*0.018%+L614*0.0108%+M614*0.018%+O614*0.0108%+P614*0.018%+R614*0.0108%+S614*0.018%+V614*0.018%+U614*0.0108%+X614*0.0108%+Y614*0.018%,0)</f>
        <v>4868366</v>
      </c>
      <c r="AK614" s="59">
        <f>1022500*0.3</f>
        <v>306750</v>
      </c>
      <c r="AL614" s="54">
        <v>44571</v>
      </c>
      <c r="AM614" s="60">
        <v>563</v>
      </c>
      <c r="AN614" s="34">
        <f>2149*2550</f>
        <v>5479950</v>
      </c>
      <c r="AO614" s="125">
        <f t="shared" si="281"/>
        <v>1520100</v>
      </c>
      <c r="AP614" s="59"/>
      <c r="AQ614" s="100">
        <v>101145201968640</v>
      </c>
      <c r="AR614" s="100">
        <v>131094212000</v>
      </c>
      <c r="AS614" s="100">
        <v>44373233000</v>
      </c>
      <c r="AT614" s="103">
        <v>97757878000</v>
      </c>
      <c r="AU614" s="55">
        <f t="shared" si="282"/>
        <v>26589020</v>
      </c>
      <c r="AV614" s="99">
        <f t="shared" si="291"/>
        <v>10748094574.6</v>
      </c>
      <c r="AX614" s="74">
        <f t="shared" si="292"/>
        <v>9.6651028518693121E-4</v>
      </c>
    </row>
    <row r="615" spans="1:50" ht="15">
      <c r="A615" s="28">
        <v>44572</v>
      </c>
      <c r="B615" s="56">
        <v>132486620000</v>
      </c>
      <c r="C615" s="56"/>
      <c r="D615" s="56"/>
      <c r="E615" s="56">
        <v>656520000</v>
      </c>
      <c r="F615" s="65">
        <f t="shared" si="280"/>
        <v>133143140000</v>
      </c>
      <c r="G615" s="65">
        <f t="shared" si="284"/>
        <v>35948648</v>
      </c>
      <c r="H615" s="58">
        <f>J615-I615</f>
        <v>31991600000</v>
      </c>
      <c r="I615" s="57">
        <v>10092000000</v>
      </c>
      <c r="J615" s="57">
        <v>42083600000</v>
      </c>
      <c r="K615" s="57"/>
      <c r="L615" s="58">
        <f>N615-M615</f>
        <v>1436697000</v>
      </c>
      <c r="M615" s="57"/>
      <c r="N615" s="57">
        <v>1436697000</v>
      </c>
      <c r="O615" s="58">
        <f>Q615-P615</f>
        <v>8029398000</v>
      </c>
      <c r="P615" s="57"/>
      <c r="Q615" s="57">
        <v>8029398000</v>
      </c>
      <c r="R615" s="58">
        <f>T615-S615</f>
        <v>960376000</v>
      </c>
      <c r="S615" s="57"/>
      <c r="T615" s="57">
        <v>960376000</v>
      </c>
      <c r="U615" s="58">
        <f>W615-V615</f>
        <v>237239000</v>
      </c>
      <c r="V615" s="57"/>
      <c r="W615" s="57">
        <v>237239000</v>
      </c>
      <c r="X615" s="58">
        <f>Z615-Y615</f>
        <v>2891403000</v>
      </c>
      <c r="Y615" s="121"/>
      <c r="Z615" s="121">
        <v>2891403000</v>
      </c>
      <c r="AA615" s="121"/>
      <c r="AB615" s="121"/>
      <c r="AC615" s="121"/>
      <c r="AD615" s="121"/>
      <c r="AE615" s="121"/>
      <c r="AF615" s="121"/>
      <c r="AG615" s="121"/>
      <c r="AH615" s="121"/>
      <c r="AI615" s="121"/>
      <c r="AJ615" s="121">
        <f>6735605-4</f>
        <v>6735601</v>
      </c>
      <c r="AK615" s="59">
        <f>2574600*0.3</f>
        <v>772380</v>
      </c>
      <c r="AL615" s="54">
        <v>44572</v>
      </c>
      <c r="AM615" s="60">
        <v>1275</v>
      </c>
      <c r="AN615" s="34">
        <f>2116*2550</f>
        <v>5395800</v>
      </c>
      <c r="AO615" s="125">
        <f t="shared" si="281"/>
        <v>3442500</v>
      </c>
      <c r="AP615" s="59"/>
      <c r="AQ615" s="100">
        <v>87768350912744</v>
      </c>
      <c r="AR615" s="100">
        <v>181412000000</v>
      </c>
      <c r="AS615" s="100">
        <v>57740304000</v>
      </c>
      <c r="AT615" s="103">
        <v>190883444000</v>
      </c>
      <c r="AU615" s="55">
        <f t="shared" si="282"/>
        <v>52294929</v>
      </c>
      <c r="AV615" s="99">
        <f t="shared" si="291"/>
        <v>10800389503.6</v>
      </c>
      <c r="AX615" s="74">
        <f t="shared" si="292"/>
        <v>2.1748550817568529E-3</v>
      </c>
    </row>
    <row r="616" spans="1:50" ht="15">
      <c r="A616" s="28">
        <v>44573</v>
      </c>
      <c r="B616" s="56">
        <v>80066860000</v>
      </c>
      <c r="C616" s="56"/>
      <c r="D616" s="56"/>
      <c r="E616" s="56"/>
      <c r="F616" s="65">
        <f t="shared" si="280"/>
        <v>80066860000</v>
      </c>
      <c r="G616" s="65">
        <f>ROUND(F616*0.027%,0)</f>
        <v>21618052</v>
      </c>
      <c r="H616" s="58">
        <f>J616-I616</f>
        <v>30809371000</v>
      </c>
      <c r="I616" s="57">
        <f>11331000000+2529500000+2528500000</f>
        <v>16389000000</v>
      </c>
      <c r="J616" s="57">
        <v>47198371000</v>
      </c>
      <c r="K616" s="57"/>
      <c r="L616" s="58">
        <f>N616-M616</f>
        <v>5866240000</v>
      </c>
      <c r="M616" s="57"/>
      <c r="N616" s="57">
        <v>5866240000</v>
      </c>
      <c r="O616" s="58">
        <f>Q616-P616</f>
        <v>553107000</v>
      </c>
      <c r="P616" s="57"/>
      <c r="Q616" s="57">
        <v>553107000</v>
      </c>
      <c r="R616" s="58">
        <f>T616-S616</f>
        <v>863397000</v>
      </c>
      <c r="S616" s="57"/>
      <c r="T616" s="57">
        <v>863397000</v>
      </c>
      <c r="U616" s="58">
        <f>W616-V616</f>
        <v>193033000</v>
      </c>
      <c r="V616" s="57"/>
      <c r="W616" s="57">
        <v>193033000</v>
      </c>
      <c r="X616" s="58">
        <f>Z616-Y616</f>
        <v>1524143000</v>
      </c>
      <c r="Y616" s="121"/>
      <c r="Z616" s="121">
        <v>1524143000</v>
      </c>
      <c r="AA616" s="121"/>
      <c r="AB616" s="121"/>
      <c r="AC616" s="121"/>
      <c r="AD616" s="121"/>
      <c r="AE616" s="121"/>
      <c r="AF616" s="121"/>
      <c r="AG616" s="121"/>
      <c r="AH616" s="121"/>
      <c r="AI616" s="121"/>
      <c r="AJ616" s="121">
        <f t="shared" ref="AJ616:AJ663" si="293">ROUND(H616*0.0108%+I616*0.018%+K616*0.018%+L616*0.0108%+M616*0.018%+O616*0.0108%+P616*0.018%+R616*0.0108%+S616*0.018%+V616*0.018%+U616*0.0108%+X616*0.0108%+Y616*0.018%,0)</f>
        <v>7249423</v>
      </c>
      <c r="AK616" s="59">
        <f>1660100*0.3</f>
        <v>498030</v>
      </c>
      <c r="AL616" s="54">
        <v>44573</v>
      </c>
      <c r="AM616" s="60">
        <v>828</v>
      </c>
      <c r="AN616" s="34">
        <f>2142*2550</f>
        <v>5462100</v>
      </c>
      <c r="AO616" s="125">
        <f t="shared" si="281"/>
        <v>2235600</v>
      </c>
      <c r="AP616" s="59"/>
      <c r="AQ616" s="100">
        <v>87253459330576</v>
      </c>
      <c r="AR616" s="100">
        <v>218780070000</v>
      </c>
      <c r="AS616" s="100">
        <v>60475897000</v>
      </c>
      <c r="AT616" s="103">
        <v>140542757000</v>
      </c>
      <c r="AU616" s="55">
        <f t="shared" si="282"/>
        <v>37063205</v>
      </c>
      <c r="AV616" s="99">
        <f t="shared" si="291"/>
        <v>10837452708.6</v>
      </c>
      <c r="AX616" s="74">
        <f t="shared" si="292"/>
        <v>1.6107413743623341E-3</v>
      </c>
    </row>
    <row r="617" spans="1:50" ht="15">
      <c r="A617" s="28">
        <v>44574</v>
      </c>
      <c r="B617" s="118">
        <v>71254135000</v>
      </c>
      <c r="C617" s="118"/>
      <c r="D617" s="118"/>
      <c r="E617" s="118"/>
      <c r="F617" s="120">
        <f t="shared" si="280"/>
        <v>71254135000</v>
      </c>
      <c r="G617" s="120">
        <f t="shared" si="284"/>
        <v>19238616</v>
      </c>
      <c r="H617" s="122">
        <f>J617-I617</f>
        <v>24677988000</v>
      </c>
      <c r="I617" s="121">
        <v>2516000000</v>
      </c>
      <c r="J617" s="121">
        <v>27193988000</v>
      </c>
      <c r="K617" s="121"/>
      <c r="L617" s="122">
        <f>N617-M617</f>
        <v>22804258000</v>
      </c>
      <c r="M617" s="121"/>
      <c r="N617" s="121">
        <v>22804258000</v>
      </c>
      <c r="O617" s="122">
        <f>Q617-P617</f>
        <v>3986143000</v>
      </c>
      <c r="P617" s="121"/>
      <c r="Q617" s="121">
        <v>3986143000</v>
      </c>
      <c r="R617" s="122">
        <f>T617-S617</f>
        <v>592629000</v>
      </c>
      <c r="S617" s="121"/>
      <c r="T617" s="121">
        <v>592629000</v>
      </c>
      <c r="U617" s="122">
        <f>W617-V617</f>
        <v>89449000</v>
      </c>
      <c r="V617" s="121"/>
      <c r="W617" s="121">
        <v>89449000</v>
      </c>
      <c r="X617" s="122">
        <f>Z617-Y617</f>
        <v>1292492000</v>
      </c>
      <c r="Y617" s="121"/>
      <c r="Z617" s="121">
        <v>1292492000</v>
      </c>
      <c r="AA617" s="121"/>
      <c r="AB617" s="121"/>
      <c r="AC617" s="121"/>
      <c r="AD617" s="121"/>
      <c r="AE617" s="121"/>
      <c r="AF617" s="121"/>
      <c r="AG617" s="121"/>
      <c r="AH617" s="121"/>
      <c r="AI617" s="121"/>
      <c r="AJ617" s="121">
        <f t="shared" si="293"/>
        <v>6224720</v>
      </c>
      <c r="AK617" s="124">
        <f>2138400*0.3</f>
        <v>641520</v>
      </c>
      <c r="AL617" s="54">
        <v>44574</v>
      </c>
      <c r="AM617" s="125">
        <v>777</v>
      </c>
      <c r="AN617" s="54">
        <f>2011*2550</f>
        <v>5128050</v>
      </c>
      <c r="AO617" s="125">
        <f t="shared" si="281"/>
        <v>2097900</v>
      </c>
      <c r="AP617" s="124"/>
      <c r="AQ617" s="101">
        <v>75085027504494</v>
      </c>
      <c r="AR617" s="100">
        <v>170805998000</v>
      </c>
      <c r="AS617" s="101">
        <v>60096323000</v>
      </c>
      <c r="AT617" s="105">
        <v>131350458000</v>
      </c>
      <c r="AU617" s="55">
        <f t="shared" si="282"/>
        <v>33330806</v>
      </c>
      <c r="AV617" s="99">
        <f t="shared" si="291"/>
        <v>10870783514.6</v>
      </c>
      <c r="AX617" s="74">
        <f t="shared" si="292"/>
        <v>1.7493561947771598E-3</v>
      </c>
    </row>
    <row r="618" spans="1:50" ht="15">
      <c r="A618" s="28">
        <v>44575</v>
      </c>
      <c r="B618" s="65">
        <v>85124240000</v>
      </c>
      <c r="C618" s="65">
        <v>7739185000</v>
      </c>
      <c r="D618" s="141">
        <v>6015090000</v>
      </c>
      <c r="E618" s="65">
        <v>3351165000</v>
      </c>
      <c r="F618" s="65">
        <f t="shared" si="280"/>
        <v>102229680000</v>
      </c>
      <c r="G618" s="65">
        <f t="shared" si="284"/>
        <v>27602014</v>
      </c>
      <c r="H618" s="58">
        <f t="shared" ref="H618:H619" si="294">J618-I618</f>
        <v>5548818000</v>
      </c>
      <c r="I618" s="58"/>
      <c r="J618" s="58">
        <v>5548818000</v>
      </c>
      <c r="K618" s="58"/>
      <c r="L618" s="58">
        <f t="shared" ref="L618:L619" si="295">N618-M618</f>
        <v>10435147000</v>
      </c>
      <c r="M618" s="58"/>
      <c r="N618" s="58">
        <v>10435147000</v>
      </c>
      <c r="O618" s="58">
        <f t="shared" ref="O618:O619" si="296">Q618-P618</f>
        <v>7223509000</v>
      </c>
      <c r="P618" s="58"/>
      <c r="Q618" s="58">
        <v>7223509000</v>
      </c>
      <c r="R618" s="58">
        <f t="shared" ref="R618:R619" si="297">T618-S618</f>
        <v>1174150000</v>
      </c>
      <c r="S618" s="58"/>
      <c r="T618" s="58">
        <v>1174150000</v>
      </c>
      <c r="U618" s="58">
        <f t="shared" ref="U618:U619" si="298">W618-V618</f>
        <v>97917000</v>
      </c>
      <c r="V618" s="58"/>
      <c r="W618" s="58">
        <v>97917000</v>
      </c>
      <c r="X618" s="58">
        <f t="shared" ref="X618:X619" si="299">Z618-Y618</f>
        <v>1402125000</v>
      </c>
      <c r="Y618" s="122"/>
      <c r="Z618" s="122">
        <v>1402125000</v>
      </c>
      <c r="AA618" s="122"/>
      <c r="AB618" s="122"/>
      <c r="AC618" s="122"/>
      <c r="AD618" s="122"/>
      <c r="AE618" s="122"/>
      <c r="AF618" s="122"/>
      <c r="AG618" s="122"/>
      <c r="AH618" s="122"/>
      <c r="AI618" s="122"/>
      <c r="AJ618" s="121">
        <f t="shared" si="293"/>
        <v>2795220</v>
      </c>
      <c r="AK618" s="66">
        <f>1106700*0.3</f>
        <v>332010</v>
      </c>
      <c r="AL618" s="54">
        <v>44575</v>
      </c>
      <c r="AM618" s="116">
        <v>1125</v>
      </c>
      <c r="AN618" s="42">
        <f>2142*2550*3</f>
        <v>16386300</v>
      </c>
      <c r="AO618" s="125">
        <f t="shared" si="281"/>
        <v>3037500</v>
      </c>
      <c r="AP618" s="135"/>
      <c r="AQ618" s="102">
        <v>55711768646828</v>
      </c>
      <c r="AR618" s="102">
        <v>293121080000</v>
      </c>
      <c r="AS618" s="102">
        <v>27657174000</v>
      </c>
      <c r="AT618" s="104">
        <v>129886854000</v>
      </c>
      <c r="AU618" s="55">
        <f t="shared" si="282"/>
        <v>50153044</v>
      </c>
      <c r="AV618" s="99">
        <f t="shared" ref="AV618:AV622" si="300">AV617+AU618</f>
        <v>10920936558.6</v>
      </c>
      <c r="AX618" s="74">
        <f t="shared" si="292"/>
        <v>2.331407836347612E-3</v>
      </c>
    </row>
    <row r="619" spans="1:50" ht="15">
      <c r="A619" s="28">
        <v>44578</v>
      </c>
      <c r="B619" s="56">
        <v>194691605000</v>
      </c>
      <c r="C619" s="56">
        <v>7833915000</v>
      </c>
      <c r="D619" s="56">
        <v>7300075000</v>
      </c>
      <c r="E619" s="56"/>
      <c r="F619" s="65">
        <f t="shared" si="280"/>
        <v>209825595000</v>
      </c>
      <c r="G619" s="65">
        <f t="shared" si="284"/>
        <v>56652911</v>
      </c>
      <c r="H619" s="58">
        <f t="shared" si="294"/>
        <v>9917883000</v>
      </c>
      <c r="I619" s="57">
        <v>7551000000</v>
      </c>
      <c r="J619" s="57">
        <v>17468883000</v>
      </c>
      <c r="K619" s="57"/>
      <c r="L619" s="58">
        <f t="shared" si="295"/>
        <v>8217744000</v>
      </c>
      <c r="M619" s="57"/>
      <c r="N619" s="57">
        <v>8217744000</v>
      </c>
      <c r="O619" s="58">
        <f t="shared" si="296"/>
        <v>5216397000</v>
      </c>
      <c r="P619" s="57"/>
      <c r="Q619" s="57">
        <v>5216397000</v>
      </c>
      <c r="R619" s="58">
        <f t="shared" si="297"/>
        <v>1193027000</v>
      </c>
      <c r="S619" s="57"/>
      <c r="T619" s="57">
        <v>1193027000</v>
      </c>
      <c r="U619" s="58">
        <f t="shared" si="298"/>
        <v>130811000</v>
      </c>
      <c r="V619" s="57"/>
      <c r="W619" s="57">
        <v>130811000</v>
      </c>
      <c r="X619" s="58">
        <f t="shared" si="299"/>
        <v>724838000</v>
      </c>
      <c r="Y619" s="121"/>
      <c r="Z619" s="121">
        <v>724838000</v>
      </c>
      <c r="AA619" s="121"/>
      <c r="AB619" s="121"/>
      <c r="AC619" s="121"/>
      <c r="AD619" s="121"/>
      <c r="AE619" s="121"/>
      <c r="AF619" s="121"/>
      <c r="AG619" s="121"/>
      <c r="AH619" s="121"/>
      <c r="AI619" s="121"/>
      <c r="AJ619" s="121">
        <f t="shared" si="293"/>
        <v>4102456</v>
      </c>
      <c r="AK619" s="59">
        <f>2421400*0.3</f>
        <v>726420</v>
      </c>
      <c r="AL619" s="54">
        <v>44578</v>
      </c>
      <c r="AM619" s="60">
        <v>2261</v>
      </c>
      <c r="AN619" s="34">
        <f>1839*2550</f>
        <v>4689450</v>
      </c>
      <c r="AO619" s="125">
        <f t="shared" si="281"/>
        <v>6104700</v>
      </c>
      <c r="AP619" s="59"/>
      <c r="AQ619" s="100">
        <v>75486127589156</v>
      </c>
      <c r="AR619" s="100">
        <v>127663928000</v>
      </c>
      <c r="AS619" s="100">
        <v>41355973000</v>
      </c>
      <c r="AT619" s="103">
        <v>251181568000</v>
      </c>
      <c r="AU619" s="55">
        <f t="shared" si="282"/>
        <v>72275937</v>
      </c>
      <c r="AV619" s="99">
        <f t="shared" si="300"/>
        <v>10993212495.6</v>
      </c>
      <c r="AX619" s="74">
        <f t="shared" si="292"/>
        <v>3.3275195856792583E-3</v>
      </c>
    </row>
    <row r="620" spans="1:50" ht="15">
      <c r="A620" s="28">
        <v>44579</v>
      </c>
      <c r="B620" s="56">
        <v>121300725000</v>
      </c>
      <c r="C620" s="56">
        <v>5513870000</v>
      </c>
      <c r="D620" s="56">
        <v>12356635000</v>
      </c>
      <c r="E620" s="56"/>
      <c r="F620" s="65">
        <f t="shared" si="280"/>
        <v>139171230000</v>
      </c>
      <c r="G620" s="65">
        <f t="shared" si="284"/>
        <v>37576232</v>
      </c>
      <c r="H620" s="58">
        <f>J620-I620</f>
        <v>10002324000</v>
      </c>
      <c r="I620" s="57">
        <v>54669500000</v>
      </c>
      <c r="J620" s="57">
        <v>64671824000</v>
      </c>
      <c r="K620" s="57"/>
      <c r="L620" s="58">
        <f>N620-M620</f>
        <v>12871706000</v>
      </c>
      <c r="M620" s="57"/>
      <c r="N620" s="57">
        <v>12871706000</v>
      </c>
      <c r="O620" s="58">
        <f>Q620-P620</f>
        <v>3013432000</v>
      </c>
      <c r="P620" s="57"/>
      <c r="Q620" s="57">
        <v>3013432000</v>
      </c>
      <c r="R620" s="58">
        <f>T620-S620</f>
        <v>1406594000</v>
      </c>
      <c r="S620" s="57">
        <v>1919000000</v>
      </c>
      <c r="T620" s="57">
        <v>3325594000</v>
      </c>
      <c r="U620" s="58">
        <f>W620-V620</f>
        <v>344758000</v>
      </c>
      <c r="V620" s="57"/>
      <c r="W620" s="57">
        <v>344758000</v>
      </c>
      <c r="X620" s="58">
        <f>Z620-Y620</f>
        <v>640895000</v>
      </c>
      <c r="Y620" s="121"/>
      <c r="Z620" s="121">
        <v>640895000</v>
      </c>
      <c r="AA620" s="121"/>
      <c r="AB620" s="121"/>
      <c r="AC620" s="121"/>
      <c r="AD620" s="121"/>
      <c r="AE620" s="121"/>
      <c r="AF620" s="121"/>
      <c r="AG620" s="121"/>
      <c r="AH620" s="121"/>
      <c r="AI620" s="121"/>
      <c r="AJ620" s="121">
        <f t="shared" si="293"/>
        <v>13240139</v>
      </c>
      <c r="AK620" s="59">
        <f>759400*0.3+300000</f>
        <v>527820</v>
      </c>
      <c r="AL620" s="54">
        <v>44579</v>
      </c>
      <c r="AM620" s="60">
        <v>2089</v>
      </c>
      <c r="AN620" s="34">
        <f>2200*2550</f>
        <v>5610000</v>
      </c>
      <c r="AO620" s="125">
        <f t="shared" si="281"/>
        <v>5640300</v>
      </c>
      <c r="AP620" s="59"/>
      <c r="AQ620" s="100">
        <v>55380481036302</v>
      </c>
      <c r="AR620" s="100">
        <v>304480392000</v>
      </c>
      <c r="AS620" s="100">
        <v>140370218000</v>
      </c>
      <c r="AT620" s="103">
        <v>279541448000</v>
      </c>
      <c r="AU620" s="55">
        <f t="shared" si="282"/>
        <v>62594491</v>
      </c>
      <c r="AV620" s="99">
        <f t="shared" si="300"/>
        <v>11055806986.6</v>
      </c>
      <c r="AX620" s="74">
        <f t="shared" si="292"/>
        <v>5.0476529414173943E-3</v>
      </c>
    </row>
    <row r="621" spans="1:50" ht="15">
      <c r="A621" s="28">
        <v>44580</v>
      </c>
      <c r="B621" s="56">
        <v>85543200000</v>
      </c>
      <c r="C621" s="56"/>
      <c r="D621" s="56">
        <v>5895410000</v>
      </c>
      <c r="E621" s="56"/>
      <c r="F621" s="65">
        <f t="shared" si="280"/>
        <v>91438610000</v>
      </c>
      <c r="G621" s="65">
        <f>ROUND(F621*0.027%,0)</f>
        <v>24688425</v>
      </c>
      <c r="H621" s="58">
        <f>J621-I621</f>
        <v>5483115000</v>
      </c>
      <c r="I621" s="57">
        <v>97131000000</v>
      </c>
      <c r="J621" s="57">
        <v>102614115000</v>
      </c>
      <c r="K621" s="57"/>
      <c r="L621" s="58">
        <f>N621-M621</f>
        <v>17887617000</v>
      </c>
      <c r="M621" s="57"/>
      <c r="N621" s="57">
        <v>17887617000</v>
      </c>
      <c r="O621" s="58">
        <f>Q621-P621</f>
        <v>1097210000</v>
      </c>
      <c r="P621" s="57"/>
      <c r="Q621" s="57">
        <v>1097210000</v>
      </c>
      <c r="R621" s="58">
        <f>T621-S621</f>
        <v>893015000</v>
      </c>
      <c r="S621" s="57"/>
      <c r="T621" s="57">
        <v>893015000</v>
      </c>
      <c r="U621" s="58">
        <f>W621-V621</f>
        <v>294482000</v>
      </c>
      <c r="V621" s="57"/>
      <c r="W621" s="57">
        <v>294482000</v>
      </c>
      <c r="X621" s="58">
        <f>Z621-Y621</f>
        <v>524171000</v>
      </c>
      <c r="Y621" s="121"/>
      <c r="Z621" s="121">
        <v>524171000</v>
      </c>
      <c r="AA621" s="121"/>
      <c r="AB621" s="121"/>
      <c r="AC621" s="121"/>
      <c r="AD621" s="121"/>
      <c r="AE621" s="121"/>
      <c r="AF621" s="121"/>
      <c r="AG621" s="121"/>
      <c r="AH621" s="121"/>
      <c r="AI621" s="121"/>
      <c r="AJ621" s="121">
        <f t="shared" si="293"/>
        <v>20310978</v>
      </c>
      <c r="AK621" s="59">
        <f>1886400*0.3</f>
        <v>565920</v>
      </c>
      <c r="AL621" s="54">
        <v>44580</v>
      </c>
      <c r="AM621" s="60">
        <v>1968</v>
      </c>
      <c r="AN621" s="34">
        <f>2484*2550</f>
        <v>6334200</v>
      </c>
      <c r="AO621" s="125">
        <f t="shared" si="281"/>
        <v>5313600</v>
      </c>
      <c r="AP621" s="59"/>
      <c r="AQ621" s="100">
        <v>52721776132964</v>
      </c>
      <c r="AR621" s="100">
        <v>293516878000</v>
      </c>
      <c r="AS621" s="100">
        <v>125006204000</v>
      </c>
      <c r="AT621" s="103">
        <v>216444814000</v>
      </c>
      <c r="AU621" s="55">
        <f t="shared" si="282"/>
        <v>57213123</v>
      </c>
      <c r="AV621" s="99">
        <f t="shared" si="300"/>
        <v>11113020109.6</v>
      </c>
      <c r="AX621" s="74">
        <f t="shared" si="292"/>
        <v>4.1054158238927208E-3</v>
      </c>
    </row>
    <row r="622" spans="1:50" ht="15">
      <c r="A622" s="28">
        <v>44581</v>
      </c>
      <c r="B622" s="118">
        <v>78414050000</v>
      </c>
      <c r="C622" s="118">
        <v>10762610000</v>
      </c>
      <c r="D622" s="118"/>
      <c r="E622" s="118"/>
      <c r="F622" s="120">
        <f t="shared" si="280"/>
        <v>89176660000</v>
      </c>
      <c r="G622" s="120">
        <f t="shared" ref="G622:G625" si="301">ROUND(F622*0.027%,0)</f>
        <v>24077698</v>
      </c>
      <c r="H622" s="122">
        <f>J622-I622</f>
        <v>2696653000</v>
      </c>
      <c r="I622" s="121">
        <v>12550000000</v>
      </c>
      <c r="J622" s="121">
        <v>15246653000</v>
      </c>
      <c r="K622" s="121"/>
      <c r="L622" s="122">
        <f>N622-M622</f>
        <v>18884328000</v>
      </c>
      <c r="M622" s="121"/>
      <c r="N622" s="121">
        <v>18884328000</v>
      </c>
      <c r="O622" s="122">
        <f>Q622-P622</f>
        <v>5241138000</v>
      </c>
      <c r="P622" s="121"/>
      <c r="Q622" s="121">
        <v>5241138000</v>
      </c>
      <c r="R622" s="122">
        <f>T622-S622</f>
        <v>623036000</v>
      </c>
      <c r="S622" s="121"/>
      <c r="T622" s="121">
        <v>623036000</v>
      </c>
      <c r="U622" s="122">
        <f>W622-V622</f>
        <v>79255000</v>
      </c>
      <c r="V622" s="121"/>
      <c r="W622" s="121">
        <v>79255000</v>
      </c>
      <c r="X622" s="122">
        <f>Z622-Y622</f>
        <v>597760000</v>
      </c>
      <c r="Y622" s="121"/>
      <c r="Z622" s="121">
        <v>597760000</v>
      </c>
      <c r="AA622" s="121"/>
      <c r="AB622" s="121"/>
      <c r="AC622" s="121"/>
      <c r="AD622" s="121"/>
      <c r="AE622" s="121"/>
      <c r="AF622" s="121"/>
      <c r="AG622" s="121"/>
      <c r="AH622" s="121"/>
      <c r="AI622" s="121"/>
      <c r="AJ622" s="121">
        <f t="shared" si="293"/>
        <v>5296194</v>
      </c>
      <c r="AK622" s="124">
        <f>1767200*0.3</f>
        <v>530160</v>
      </c>
      <c r="AL622" s="54">
        <v>44581</v>
      </c>
      <c r="AM622" s="125">
        <v>1298</v>
      </c>
      <c r="AN622" s="54">
        <f>2512*2550</f>
        <v>6405600</v>
      </c>
      <c r="AO622" s="125">
        <f t="shared" si="281"/>
        <v>3504600</v>
      </c>
      <c r="AP622" s="124"/>
      <c r="AQ622" s="101">
        <v>52668835143218</v>
      </c>
      <c r="AR622" s="100">
        <v>127918442000</v>
      </c>
      <c r="AS622" s="101">
        <v>41752371000</v>
      </c>
      <c r="AT622" s="105">
        <v>130929031000</v>
      </c>
      <c r="AU622" s="55">
        <f t="shared" si="282"/>
        <v>39814252</v>
      </c>
      <c r="AV622" s="99">
        <f t="shared" si="300"/>
        <v>11152834361.6</v>
      </c>
      <c r="AX622" s="74">
        <f t="shared" si="292"/>
        <v>2.4858919063612387E-3</v>
      </c>
    </row>
    <row r="623" spans="1:50" ht="15">
      <c r="A623" s="28">
        <v>44582</v>
      </c>
      <c r="B623" s="65">
        <v>86394085000</v>
      </c>
      <c r="C623" s="65"/>
      <c r="D623" s="141"/>
      <c r="E623" s="65"/>
      <c r="F623" s="65">
        <f t="shared" si="280"/>
        <v>86394085000</v>
      </c>
      <c r="G623" s="65">
        <f t="shared" si="301"/>
        <v>23326403</v>
      </c>
      <c r="H623" s="58">
        <f t="shared" ref="H623:H624" si="302">J623-I623</f>
        <v>1219926000</v>
      </c>
      <c r="I623" s="58"/>
      <c r="J623" s="58">
        <v>1219926000</v>
      </c>
      <c r="K623" s="58"/>
      <c r="L623" s="58">
        <f t="shared" ref="L623:L624" si="303">N623-M623</f>
        <v>7986757000</v>
      </c>
      <c r="M623" s="58"/>
      <c r="N623" s="58">
        <v>7986757000</v>
      </c>
      <c r="O623" s="58">
        <f t="shared" ref="O623:O624" si="304">Q623-P623</f>
        <v>3222137000</v>
      </c>
      <c r="P623" s="58"/>
      <c r="Q623" s="58">
        <v>3222137000</v>
      </c>
      <c r="R623" s="58">
        <f t="shared" ref="R623:R624" si="305">T623-S623</f>
        <v>783792000</v>
      </c>
      <c r="S623" s="58"/>
      <c r="T623" s="58">
        <v>783792000</v>
      </c>
      <c r="U623" s="58">
        <f t="shared" ref="U623:U624" si="306">W623-V623</f>
        <v>194778000</v>
      </c>
      <c r="V623" s="58"/>
      <c r="W623" s="58">
        <v>194778000</v>
      </c>
      <c r="X623" s="58">
        <f t="shared" ref="X623:X624" si="307">Z623-Y623</f>
        <v>513514000</v>
      </c>
      <c r="Y623" s="122"/>
      <c r="Z623" s="122">
        <v>513514000</v>
      </c>
      <c r="AA623" s="122"/>
      <c r="AB623" s="122"/>
      <c r="AC623" s="122"/>
      <c r="AD623" s="122"/>
      <c r="AE623" s="122"/>
      <c r="AF623" s="122"/>
      <c r="AG623" s="122"/>
      <c r="AH623" s="122"/>
      <c r="AI623" s="122"/>
      <c r="AJ623" s="121">
        <f t="shared" si="293"/>
        <v>1503458</v>
      </c>
      <c r="AK623" s="66">
        <f>1946800*0.3</f>
        <v>584040</v>
      </c>
      <c r="AL623" s="54">
        <v>44582</v>
      </c>
      <c r="AM623" s="116">
        <v>798</v>
      </c>
      <c r="AN623" s="42">
        <f>1908*2550*3</f>
        <v>14596200</v>
      </c>
      <c r="AO623" s="125">
        <f t="shared" si="281"/>
        <v>2154600</v>
      </c>
      <c r="AP623" s="135"/>
      <c r="AQ623" s="102">
        <v>55629913667940</v>
      </c>
      <c r="AR623" s="102">
        <v>86269998000</v>
      </c>
      <c r="AS623" s="102">
        <v>15524084000</v>
      </c>
      <c r="AT623" s="104">
        <v>101918169000</v>
      </c>
      <c r="AU623" s="55">
        <f t="shared" si="282"/>
        <v>42164701</v>
      </c>
      <c r="AV623" s="99">
        <f t="shared" ref="AV623:AV627" si="308">AV622+AU623</f>
        <v>11194999062.6</v>
      </c>
      <c r="AX623" s="74">
        <f t="shared" si="292"/>
        <v>1.8320749086248595E-3</v>
      </c>
    </row>
    <row r="624" spans="1:50" ht="15">
      <c r="A624" s="28">
        <v>44585</v>
      </c>
      <c r="B624" s="56">
        <v>118414270000</v>
      </c>
      <c r="C624" s="56">
        <v>21325685000</v>
      </c>
      <c r="D624" s="56"/>
      <c r="E624" s="56"/>
      <c r="F624" s="65">
        <f t="shared" si="280"/>
        <v>139739955000</v>
      </c>
      <c r="G624" s="65">
        <f t="shared" si="301"/>
        <v>37729788</v>
      </c>
      <c r="H624" s="58">
        <f t="shared" si="302"/>
        <v>7704181000</v>
      </c>
      <c r="I624" s="57"/>
      <c r="J624" s="57">
        <v>7704181000</v>
      </c>
      <c r="K624" s="57"/>
      <c r="L624" s="58">
        <f t="shared" si="303"/>
        <v>9408533000</v>
      </c>
      <c r="M624" s="57"/>
      <c r="N624" s="57">
        <v>9408533000</v>
      </c>
      <c r="O624" s="58">
        <f t="shared" si="304"/>
        <v>381782000</v>
      </c>
      <c r="P624" s="57"/>
      <c r="Q624" s="57">
        <v>381782000</v>
      </c>
      <c r="R624" s="58">
        <f t="shared" si="305"/>
        <v>1270265000</v>
      </c>
      <c r="S624" s="57"/>
      <c r="T624" s="57">
        <v>1270265000</v>
      </c>
      <c r="U624" s="58">
        <f t="shared" si="306"/>
        <v>369702000</v>
      </c>
      <c r="V624" s="57"/>
      <c r="W624" s="57">
        <v>369702000</v>
      </c>
      <c r="X624" s="58">
        <f t="shared" si="307"/>
        <v>692225000</v>
      </c>
      <c r="Y624" s="121"/>
      <c r="Z624" s="121">
        <v>692225000</v>
      </c>
      <c r="AA624" s="121"/>
      <c r="AB624" s="121"/>
      <c r="AC624" s="121"/>
      <c r="AD624" s="121"/>
      <c r="AE624" s="121"/>
      <c r="AF624" s="121"/>
      <c r="AG624" s="121"/>
      <c r="AH624" s="121"/>
      <c r="AI624" s="121"/>
      <c r="AJ624" s="121">
        <f t="shared" si="293"/>
        <v>2141282</v>
      </c>
      <c r="AK624" s="59">
        <f>1641200*0.3</f>
        <v>492360</v>
      </c>
      <c r="AL624" s="54">
        <v>44585</v>
      </c>
      <c r="AM624" s="60">
        <v>1033</v>
      </c>
      <c r="AN624" s="34">
        <f>1615*2550</f>
        <v>4118250</v>
      </c>
      <c r="AO624" s="125">
        <f t="shared" si="281"/>
        <v>2789100</v>
      </c>
      <c r="AP624" s="59"/>
      <c r="AQ624" s="100">
        <v>59559916546742</v>
      </c>
      <c r="AR624" s="100">
        <v>132865998000</v>
      </c>
      <c r="AS624" s="100">
        <v>20908638000</v>
      </c>
      <c r="AT624" s="103">
        <v>160648593000</v>
      </c>
      <c r="AU624" s="55">
        <f t="shared" si="282"/>
        <v>47270780</v>
      </c>
      <c r="AV624" s="99">
        <f t="shared" si="308"/>
        <v>11242269842.6</v>
      </c>
      <c r="AX624" s="74">
        <f t="shared" si="292"/>
        <v>2.6972602097910035E-3</v>
      </c>
    </row>
    <row r="625" spans="1:50" ht="15">
      <c r="A625" s="28">
        <v>44586</v>
      </c>
      <c r="B625" s="56">
        <v>74248485000</v>
      </c>
      <c r="C625" s="56"/>
      <c r="D625" s="56"/>
      <c r="E625" s="56"/>
      <c r="F625" s="65">
        <f t="shared" si="280"/>
        <v>74248485000</v>
      </c>
      <c r="G625" s="65">
        <f t="shared" si="301"/>
        <v>20047091</v>
      </c>
      <c r="H625" s="58">
        <f>J625-I625</f>
        <v>18886263000</v>
      </c>
      <c r="I625" s="57"/>
      <c r="J625" s="57">
        <v>18886263000</v>
      </c>
      <c r="K625" s="57"/>
      <c r="L625" s="58">
        <f>N625-M625</f>
        <v>4529304000</v>
      </c>
      <c r="M625" s="57"/>
      <c r="N625" s="57">
        <v>4529304000</v>
      </c>
      <c r="O625" s="58">
        <f>Q625-P625</f>
        <v>777891000</v>
      </c>
      <c r="P625" s="57"/>
      <c r="Q625" s="57">
        <v>777891000</v>
      </c>
      <c r="R625" s="58">
        <f>T625-S625</f>
        <v>710273000</v>
      </c>
      <c r="S625" s="57"/>
      <c r="T625" s="57">
        <v>710273000</v>
      </c>
      <c r="U625" s="58">
        <f>W625-V625</f>
        <v>150169000</v>
      </c>
      <c r="V625" s="57"/>
      <c r="W625" s="57">
        <v>150169000</v>
      </c>
      <c r="X625" s="58">
        <f>Z625-Y625</f>
        <v>568811000</v>
      </c>
      <c r="Y625" s="121"/>
      <c r="Z625" s="121">
        <v>568811000</v>
      </c>
      <c r="AA625" s="121"/>
      <c r="AB625" s="121"/>
      <c r="AC625" s="121"/>
      <c r="AD625" s="121"/>
      <c r="AE625" s="121"/>
      <c r="AF625" s="121"/>
      <c r="AG625" s="121"/>
      <c r="AH625" s="121"/>
      <c r="AI625" s="121"/>
      <c r="AJ625" s="121">
        <f t="shared" si="293"/>
        <v>2767253</v>
      </c>
      <c r="AK625" s="59">
        <f>1292900*0.3</f>
        <v>387870</v>
      </c>
      <c r="AL625" s="54">
        <v>44586</v>
      </c>
      <c r="AM625" s="60">
        <v>709</v>
      </c>
      <c r="AN625" s="34">
        <f>1608*2550</f>
        <v>4100400</v>
      </c>
      <c r="AO625" s="125">
        <f t="shared" si="281"/>
        <v>1914300</v>
      </c>
      <c r="AP625" s="59"/>
      <c r="AQ625" s="100">
        <v>52124595887684</v>
      </c>
      <c r="AR625" s="100">
        <v>463088992000</v>
      </c>
      <c r="AS625" s="100">
        <v>29832050000</v>
      </c>
      <c r="AT625" s="103">
        <v>104080535000</v>
      </c>
      <c r="AU625" s="55">
        <f t="shared" si="282"/>
        <v>29216914</v>
      </c>
      <c r="AV625" s="99">
        <f t="shared" si="308"/>
        <v>11271486756.6</v>
      </c>
      <c r="AX625" s="74">
        <f t="shared" si="292"/>
        <v>1.9967643533250327E-3</v>
      </c>
    </row>
    <row r="626" spans="1:50" ht="15">
      <c r="A626" s="28">
        <v>44587</v>
      </c>
      <c r="B626" s="56">
        <v>48472645000</v>
      </c>
      <c r="C626" s="56"/>
      <c r="D626" s="56"/>
      <c r="E626" s="56"/>
      <c r="F626" s="65">
        <f t="shared" si="280"/>
        <v>48472645000</v>
      </c>
      <c r="G626" s="65">
        <f>ROUND(F626*0.027%,0)</f>
        <v>13087614</v>
      </c>
      <c r="H626" s="58">
        <f>J626-I626</f>
        <v>21896135000</v>
      </c>
      <c r="I626" s="57">
        <v>15365400000</v>
      </c>
      <c r="J626" s="57">
        <v>37261535000</v>
      </c>
      <c r="K626" s="57"/>
      <c r="L626" s="58">
        <f>N626-M626</f>
        <v>23568354000</v>
      </c>
      <c r="M626" s="57"/>
      <c r="N626" s="57">
        <v>23568354000</v>
      </c>
      <c r="O626" s="58">
        <f>Q626-P626</f>
        <v>2744769000</v>
      </c>
      <c r="P626" s="57">
        <f>6885000000+11490000000</f>
        <v>18375000000</v>
      </c>
      <c r="Q626" s="57">
        <v>21119769000</v>
      </c>
      <c r="R626" s="58">
        <f>T626-S626</f>
        <v>858758000</v>
      </c>
      <c r="S626" s="57"/>
      <c r="T626" s="57">
        <v>858758000</v>
      </c>
      <c r="U626" s="58">
        <f>W626-V626</f>
        <v>77139000</v>
      </c>
      <c r="V626" s="57"/>
      <c r="W626" s="57">
        <v>77139000</v>
      </c>
      <c r="X626" s="58">
        <f>Z626-Y626</f>
        <v>718693000</v>
      </c>
      <c r="Y626" s="121"/>
      <c r="Z626" s="121">
        <v>718693000</v>
      </c>
      <c r="AA626" s="121"/>
      <c r="AB626" s="121"/>
      <c r="AC626" s="121"/>
      <c r="AD626" s="121"/>
      <c r="AE626" s="121"/>
      <c r="AF626" s="121"/>
      <c r="AG626" s="121"/>
      <c r="AH626" s="121"/>
      <c r="AI626" s="121"/>
      <c r="AJ626" s="121">
        <f t="shared" si="293"/>
        <v>11458568</v>
      </c>
      <c r="AK626" s="59">
        <f>2793600*0.3</f>
        <v>838080</v>
      </c>
      <c r="AL626" s="54">
        <v>44587</v>
      </c>
      <c r="AM626" s="60">
        <v>536</v>
      </c>
      <c r="AN626" s="34">
        <f>1320*2550</f>
        <v>3366000</v>
      </c>
      <c r="AO626" s="125">
        <f t="shared" si="281"/>
        <v>1447200</v>
      </c>
      <c r="AP626" s="59"/>
      <c r="AQ626" s="100">
        <v>53436912993498</v>
      </c>
      <c r="AR626" s="100">
        <v>266111740000</v>
      </c>
      <c r="AS626" s="100">
        <v>120665770000</v>
      </c>
      <c r="AT626" s="103">
        <v>169138415000</v>
      </c>
      <c r="AU626" s="55">
        <f t="shared" si="282"/>
        <v>30197462</v>
      </c>
      <c r="AV626" s="99">
        <f t="shared" si="308"/>
        <v>11301684218.6</v>
      </c>
      <c r="AX626" s="74">
        <f t="shared" si="292"/>
        <v>3.1651980910757348E-3</v>
      </c>
    </row>
    <row r="627" spans="1:50" ht="15">
      <c r="A627" s="28">
        <v>44588</v>
      </c>
      <c r="B627" s="118">
        <v>60294145000</v>
      </c>
      <c r="C627" s="118"/>
      <c r="D627" s="118">
        <v>6229770000</v>
      </c>
      <c r="E627" s="118"/>
      <c r="F627" s="120">
        <f t="shared" si="280"/>
        <v>66523915000</v>
      </c>
      <c r="G627" s="120">
        <f t="shared" ref="G627:G630" si="309">ROUND(F627*0.027%,0)</f>
        <v>17961457</v>
      </c>
      <c r="H627" s="122">
        <f>J627-I627</f>
        <v>27409516000</v>
      </c>
      <c r="I627" s="121">
        <v>7695000000</v>
      </c>
      <c r="J627" s="121">
        <v>35104516000</v>
      </c>
      <c r="K627" s="121"/>
      <c r="L627" s="122">
        <f>N627-M627</f>
        <v>9989972000</v>
      </c>
      <c r="M627" s="121"/>
      <c r="N627" s="121">
        <v>9989972000</v>
      </c>
      <c r="O627" s="122">
        <f>Q627-P627</f>
        <v>20757000</v>
      </c>
      <c r="P627" s="121"/>
      <c r="Q627" s="121">
        <v>20757000</v>
      </c>
      <c r="R627" s="122">
        <f>T627-S627</f>
        <v>1084428000</v>
      </c>
      <c r="S627" s="121"/>
      <c r="T627" s="121">
        <v>1084428000</v>
      </c>
      <c r="U627" s="122">
        <f>W627-V627</f>
        <v>142171000</v>
      </c>
      <c r="V627" s="121"/>
      <c r="W627" s="121">
        <v>142171000</v>
      </c>
      <c r="X627" s="122">
        <f>Z627-Y627</f>
        <v>806523000</v>
      </c>
      <c r="Y627" s="121"/>
      <c r="Z627" s="121">
        <v>806523000</v>
      </c>
      <c r="AA627" s="121"/>
      <c r="AB627" s="121"/>
      <c r="AC627" s="121"/>
      <c r="AD627" s="121"/>
      <c r="AE627" s="121"/>
      <c r="AF627" s="121"/>
      <c r="AG627" s="121"/>
      <c r="AH627" s="121"/>
      <c r="AI627" s="121"/>
      <c r="AJ627" s="121">
        <f t="shared" si="293"/>
        <v>5646064</v>
      </c>
      <c r="AK627" s="124">
        <v>262680</v>
      </c>
      <c r="AL627" s="54">
        <v>44588</v>
      </c>
      <c r="AM627" s="125">
        <v>656</v>
      </c>
      <c r="AN627" s="54">
        <f>1606*2550</f>
        <v>4095300</v>
      </c>
      <c r="AO627" s="125">
        <f t="shared" si="281"/>
        <v>1771200</v>
      </c>
      <c r="AP627" s="124"/>
      <c r="AQ627" s="101">
        <v>40359955850478</v>
      </c>
      <c r="AR627" s="100">
        <v>205670000000</v>
      </c>
      <c r="AS627" s="101">
        <v>59199573000</v>
      </c>
      <c r="AT627" s="105">
        <v>125723488000</v>
      </c>
      <c r="AU627" s="55">
        <f t="shared" si="282"/>
        <v>29736701</v>
      </c>
      <c r="AV627" s="99">
        <f t="shared" si="308"/>
        <v>11331420919.6</v>
      </c>
      <c r="AX627" s="74">
        <f t="shared" si="292"/>
        <v>3.1150551419275403E-3</v>
      </c>
    </row>
    <row r="628" spans="1:50" ht="15">
      <c r="A628" s="28">
        <v>44589</v>
      </c>
      <c r="B628" s="65">
        <v>83545480000</v>
      </c>
      <c r="C628" s="65">
        <v>3606295000</v>
      </c>
      <c r="D628" s="141"/>
      <c r="E628" s="65"/>
      <c r="F628" s="65">
        <f t="shared" si="280"/>
        <v>87151775000</v>
      </c>
      <c r="G628" s="65">
        <f t="shared" si="309"/>
        <v>23530979</v>
      </c>
      <c r="H628" s="58">
        <f t="shared" ref="H628:H629" si="310">J628-I628</f>
        <v>9758170000</v>
      </c>
      <c r="I628" s="58">
        <v>7729500000</v>
      </c>
      <c r="J628" s="58">
        <v>17487670000</v>
      </c>
      <c r="K628" s="58"/>
      <c r="L628" s="58">
        <f t="shared" ref="L628:L629" si="311">N628-M628</f>
        <v>11290670000</v>
      </c>
      <c r="M628" s="58"/>
      <c r="N628" s="58">
        <v>11290670000</v>
      </c>
      <c r="O628" s="58">
        <f t="shared" ref="O628:O629" si="312">Q628-P628</f>
        <v>43998000</v>
      </c>
      <c r="P628" s="58"/>
      <c r="Q628" s="58">
        <v>43998000</v>
      </c>
      <c r="R628" s="58">
        <f t="shared" ref="R628:R629" si="313">T628-S628</f>
        <v>707631000</v>
      </c>
      <c r="S628" s="58"/>
      <c r="T628" s="58">
        <v>707631000</v>
      </c>
      <c r="U628" s="58">
        <f t="shared" ref="U628:U629" si="314">W628-V628</f>
        <v>96546000</v>
      </c>
      <c r="V628" s="58"/>
      <c r="W628" s="58">
        <v>96546000</v>
      </c>
      <c r="X628" s="58">
        <f t="shared" ref="X628:X629" si="315">Z628-Y628</f>
        <v>1313194000</v>
      </c>
      <c r="Y628" s="122"/>
      <c r="Z628" s="122">
        <v>1313194000</v>
      </c>
      <c r="AA628" s="122"/>
      <c r="AB628" s="122"/>
      <c r="AC628" s="122"/>
      <c r="AD628" s="122"/>
      <c r="AE628" s="122"/>
      <c r="AF628" s="122"/>
      <c r="AG628" s="122"/>
      <c r="AH628" s="122"/>
      <c r="AI628" s="122"/>
      <c r="AJ628" s="121">
        <f t="shared" si="293"/>
        <v>3898013</v>
      </c>
      <c r="AK628" s="66">
        <v>408596</v>
      </c>
      <c r="AL628" s="54">
        <v>44589</v>
      </c>
      <c r="AM628" s="116">
        <v>529</v>
      </c>
      <c r="AN628" s="42">
        <v>19986900</v>
      </c>
      <c r="AO628" s="125">
        <f t="shared" si="281"/>
        <v>1428300</v>
      </c>
      <c r="AP628" s="135">
        <f>1600000+10245810+21482370</f>
        <v>33328180</v>
      </c>
      <c r="AQ628" s="102">
        <v>49002537462666</v>
      </c>
      <c r="AR628" s="102">
        <v>151979996000</v>
      </c>
      <c r="AS628" s="102">
        <v>32248925000</v>
      </c>
      <c r="AT628" s="104">
        <v>119400700000</v>
      </c>
      <c r="AU628" s="55">
        <f t="shared" si="282"/>
        <v>82580968</v>
      </c>
      <c r="AV628" s="99">
        <f t="shared" ref="AV628:AV632" si="316">AV627+AU628</f>
        <v>11414001887.6</v>
      </c>
      <c r="AX628" s="74">
        <f t="shared" si="292"/>
        <v>2.4366227991962433E-3</v>
      </c>
    </row>
    <row r="629" spans="1:50" ht="15">
      <c r="A629" s="28">
        <v>44599</v>
      </c>
      <c r="B629" s="56">
        <v>35672380000</v>
      </c>
      <c r="C629" s="56">
        <v>6238400000</v>
      </c>
      <c r="D629" s="56"/>
      <c r="E629" s="56"/>
      <c r="F629" s="65">
        <f t="shared" ref="F629:F644" si="317">SUM(B629:E629)</f>
        <v>41910780000</v>
      </c>
      <c r="G629" s="65">
        <f t="shared" si="309"/>
        <v>11315911</v>
      </c>
      <c r="H629" s="58">
        <f t="shared" si="310"/>
        <v>11451785000</v>
      </c>
      <c r="I629" s="57"/>
      <c r="J629" s="57">
        <v>11451785000</v>
      </c>
      <c r="K629" s="57"/>
      <c r="L629" s="58">
        <f t="shared" si="311"/>
        <v>9948777000</v>
      </c>
      <c r="M629" s="57"/>
      <c r="N629" s="57">
        <v>9948777000</v>
      </c>
      <c r="O629" s="58">
        <f t="shared" si="312"/>
        <v>205950000</v>
      </c>
      <c r="P629" s="57"/>
      <c r="Q629" s="57">
        <v>205950000</v>
      </c>
      <c r="R629" s="58">
        <f t="shared" si="313"/>
        <v>1013352000</v>
      </c>
      <c r="S629" s="57"/>
      <c r="T629" s="57">
        <v>1013352000</v>
      </c>
      <c r="U629" s="58">
        <f t="shared" si="314"/>
        <v>141499000</v>
      </c>
      <c r="V629" s="57"/>
      <c r="W629" s="57">
        <v>141499000</v>
      </c>
      <c r="X629" s="58">
        <f t="shared" si="315"/>
        <v>853451000</v>
      </c>
      <c r="Y629" s="121"/>
      <c r="Z629" s="121">
        <v>853451000</v>
      </c>
      <c r="AA629" s="121"/>
      <c r="AB629" s="121"/>
      <c r="AC629" s="121"/>
      <c r="AD629" s="121"/>
      <c r="AE629" s="121"/>
      <c r="AF629" s="121"/>
      <c r="AG629" s="121"/>
      <c r="AH629" s="121"/>
      <c r="AI629" s="121"/>
      <c r="AJ629" s="121">
        <f t="shared" si="293"/>
        <v>2550400</v>
      </c>
      <c r="AK629" s="59">
        <f>1315500*0.3</f>
        <v>394650</v>
      </c>
      <c r="AL629" s="54">
        <v>44599</v>
      </c>
      <c r="AM629" s="60">
        <v>360</v>
      </c>
      <c r="AN629" s="34">
        <v>25094550</v>
      </c>
      <c r="AO629" s="125">
        <f t="shared" si="281"/>
        <v>972000</v>
      </c>
      <c r="AP629" s="59"/>
      <c r="AQ629" s="100">
        <v>42079208562240</v>
      </c>
      <c r="AR629" s="100">
        <v>206597704000</v>
      </c>
      <c r="AS629" s="100">
        <v>26560016000</v>
      </c>
      <c r="AT629" s="103">
        <v>68470796000</v>
      </c>
      <c r="AU629" s="55">
        <f t="shared" si="282"/>
        <v>40327511</v>
      </c>
      <c r="AV629" s="99">
        <f t="shared" si="316"/>
        <v>11454329398.6</v>
      </c>
      <c r="AX629" s="74">
        <f t="shared" si="292"/>
        <v>1.6271883036660206E-3</v>
      </c>
    </row>
    <row r="630" spans="1:50" ht="15">
      <c r="A630" s="28">
        <v>44600</v>
      </c>
      <c r="B630" s="56">
        <v>66279595000</v>
      </c>
      <c r="C630" s="56">
        <v>8436905000</v>
      </c>
      <c r="D630" s="56"/>
      <c r="E630" s="56"/>
      <c r="F630" s="65">
        <f t="shared" si="317"/>
        <v>74716500000</v>
      </c>
      <c r="G630" s="65">
        <f t="shared" si="309"/>
        <v>20173455</v>
      </c>
      <c r="H630" s="58">
        <f>J630-I630</f>
        <v>27144232000</v>
      </c>
      <c r="I630" s="57">
        <v>133385300000</v>
      </c>
      <c r="J630" s="57">
        <v>160529532000</v>
      </c>
      <c r="K630" s="57"/>
      <c r="L630" s="58">
        <f>N630-M630</f>
        <v>5696753000</v>
      </c>
      <c r="M630" s="57"/>
      <c r="N630" s="57">
        <v>5696753000</v>
      </c>
      <c r="O630" s="58">
        <f>Q630-P630</f>
        <v>16393000</v>
      </c>
      <c r="P630" s="57"/>
      <c r="Q630" s="57">
        <v>16393000</v>
      </c>
      <c r="R630" s="58">
        <f>T630-S630</f>
        <v>907138000</v>
      </c>
      <c r="S630" s="57"/>
      <c r="T630" s="57">
        <v>907138000</v>
      </c>
      <c r="U630" s="58">
        <f>W630-V630</f>
        <v>154162000</v>
      </c>
      <c r="V630" s="57"/>
      <c r="W630" s="57">
        <v>154162000</v>
      </c>
      <c r="X630" s="58">
        <f>Z630-Y630</f>
        <v>764662000</v>
      </c>
      <c r="Y630" s="121"/>
      <c r="Z630" s="121">
        <v>764662000</v>
      </c>
      <c r="AA630" s="121"/>
      <c r="AB630" s="121"/>
      <c r="AC630" s="121"/>
      <c r="AD630" s="121"/>
      <c r="AE630" s="121"/>
      <c r="AF630" s="121"/>
      <c r="AG630" s="121"/>
      <c r="AH630" s="121"/>
      <c r="AI630" s="121"/>
      <c r="AJ630" s="121">
        <f t="shared" si="293"/>
        <v>27755155</v>
      </c>
      <c r="AK630" s="59">
        <f>1462300*0.3+300000</f>
        <v>738690</v>
      </c>
      <c r="AL630" s="54">
        <v>44600</v>
      </c>
      <c r="AM630" s="60">
        <v>406</v>
      </c>
      <c r="AN630" s="34">
        <v>2588250</v>
      </c>
      <c r="AO630" s="125">
        <f t="shared" si="281"/>
        <v>1096200</v>
      </c>
      <c r="AP630" s="59"/>
      <c r="AQ630" s="100">
        <v>51804007848390</v>
      </c>
      <c r="AR630" s="100">
        <v>403271604000</v>
      </c>
      <c r="AS630" s="100">
        <v>288567225000</v>
      </c>
      <c r="AT630" s="103">
        <v>363283725000</v>
      </c>
      <c r="AU630" s="55">
        <f t="shared" si="282"/>
        <v>52351750</v>
      </c>
      <c r="AV630" s="99">
        <f t="shared" si="316"/>
        <v>11506681148.6</v>
      </c>
      <c r="AX630" s="74">
        <f t="shared" si="292"/>
        <v>7.0126567439181327E-3</v>
      </c>
    </row>
    <row r="631" spans="1:50" ht="15">
      <c r="A631" s="28">
        <v>44601</v>
      </c>
      <c r="B631" s="56">
        <v>70693150000</v>
      </c>
      <c r="C631" s="56"/>
      <c r="D631" s="56"/>
      <c r="E631" s="56"/>
      <c r="F631" s="65">
        <f t="shared" si="317"/>
        <v>70693150000</v>
      </c>
      <c r="G631" s="65">
        <f>ROUND(F631*0.027%,0)</f>
        <v>19087151</v>
      </c>
      <c r="H631" s="58">
        <f>J631-I631</f>
        <v>261600000</v>
      </c>
      <c r="I631" s="57">
        <v>120931000000</v>
      </c>
      <c r="J631" s="57">
        <v>121192600000</v>
      </c>
      <c r="K631" s="57"/>
      <c r="L631" s="58">
        <f>N631-M631</f>
        <v>20369660000</v>
      </c>
      <c r="M631" s="57"/>
      <c r="N631" s="57">
        <v>20369660000</v>
      </c>
      <c r="O631" s="58">
        <f>Q631-P631</f>
        <v>11836000</v>
      </c>
      <c r="P631" s="57"/>
      <c r="Q631" s="57">
        <v>11836000</v>
      </c>
      <c r="R631" s="58">
        <f>T631-S631</f>
        <v>2464761000</v>
      </c>
      <c r="S631" s="57"/>
      <c r="T631" s="57">
        <v>2464761000</v>
      </c>
      <c r="U631" s="58">
        <f>W631-V631</f>
        <v>97834000</v>
      </c>
      <c r="V631" s="57"/>
      <c r="W631" s="57">
        <v>97834000</v>
      </c>
      <c r="X631" s="58">
        <f>Z631-Y631</f>
        <v>598868000</v>
      </c>
      <c r="Y631" s="121"/>
      <c r="Z631" s="121">
        <v>598868000</v>
      </c>
      <c r="AA631" s="121"/>
      <c r="AB631" s="121"/>
      <c r="AC631" s="121"/>
      <c r="AD631" s="121"/>
      <c r="AE631" s="121"/>
      <c r="AF631" s="121"/>
      <c r="AG631" s="121"/>
      <c r="AH631" s="121"/>
      <c r="AI631" s="121"/>
      <c r="AJ631" s="121">
        <f t="shared" si="293"/>
        <v>24338472</v>
      </c>
      <c r="AK631" s="59">
        <f>1647700*0.3</f>
        <v>494310</v>
      </c>
      <c r="AL631" s="54">
        <v>44601</v>
      </c>
      <c r="AM631" s="60">
        <v>306</v>
      </c>
      <c r="AN631" s="34">
        <v>3001350</v>
      </c>
      <c r="AO631" s="125">
        <f t="shared" si="281"/>
        <v>826200</v>
      </c>
      <c r="AP631" s="59"/>
      <c r="AQ631" s="100">
        <v>57944573564364</v>
      </c>
      <c r="AR631" s="100">
        <v>793745144000</v>
      </c>
      <c r="AS631" s="100">
        <v>266807587000</v>
      </c>
      <c r="AT631" s="103">
        <v>337500737000</v>
      </c>
      <c r="AU631" s="55">
        <f t="shared" si="282"/>
        <v>47747483</v>
      </c>
      <c r="AV631" s="99">
        <f t="shared" si="316"/>
        <v>11554428631.6</v>
      </c>
      <c r="AX631" s="74">
        <f t="shared" si="292"/>
        <v>5.824544322948706E-3</v>
      </c>
    </row>
    <row r="632" spans="1:50" ht="15">
      <c r="A632" s="28">
        <v>44602</v>
      </c>
      <c r="B632" s="118">
        <v>60661300000</v>
      </c>
      <c r="C632" s="118">
        <v>5287925000</v>
      </c>
      <c r="D632" s="118"/>
      <c r="E632" s="118"/>
      <c r="F632" s="120">
        <f t="shared" si="317"/>
        <v>65949225000</v>
      </c>
      <c r="G632" s="120">
        <f t="shared" ref="G632" si="318">ROUND(F632*0.027%,0)</f>
        <v>17806291</v>
      </c>
      <c r="H632" s="122">
        <f>J632-I632</f>
        <v>340005000</v>
      </c>
      <c r="I632" s="121">
        <v>20824000000</v>
      </c>
      <c r="J632" s="121">
        <v>21164005000</v>
      </c>
      <c r="K632" s="121"/>
      <c r="L632" s="122">
        <f>N632-M632</f>
        <v>1000362000</v>
      </c>
      <c r="M632" s="121"/>
      <c r="N632" s="121">
        <v>1000362000</v>
      </c>
      <c r="O632" s="122">
        <f>Q632-P632</f>
        <v>696017000</v>
      </c>
      <c r="P632" s="121"/>
      <c r="Q632" s="121">
        <v>696017000</v>
      </c>
      <c r="R632" s="122">
        <f>T632-S632</f>
        <v>1949404000</v>
      </c>
      <c r="S632" s="121"/>
      <c r="T632" s="121">
        <v>1949404000</v>
      </c>
      <c r="U632" s="122">
        <f>W632-V632</f>
        <v>24775000</v>
      </c>
      <c r="V632" s="121"/>
      <c r="W632" s="121">
        <v>24775000</v>
      </c>
      <c r="X632" s="122">
        <f>Z632-Y632</f>
        <v>1054582000</v>
      </c>
      <c r="Y632" s="121"/>
      <c r="Z632" s="121">
        <v>1054582000</v>
      </c>
      <c r="AA632" s="121"/>
      <c r="AB632" s="121"/>
      <c r="AC632" s="121"/>
      <c r="AD632" s="121"/>
      <c r="AE632" s="121"/>
      <c r="AF632" s="121"/>
      <c r="AG632" s="121"/>
      <c r="AH632" s="121"/>
      <c r="AI632" s="121"/>
      <c r="AJ632" s="121">
        <f t="shared" si="293"/>
        <v>4295356</v>
      </c>
      <c r="AK632" s="124">
        <f>1051000*0.3</f>
        <v>315300</v>
      </c>
      <c r="AL632" s="54">
        <v>44602</v>
      </c>
      <c r="AM632" s="125">
        <v>229</v>
      </c>
      <c r="AN632" s="54">
        <v>2641800</v>
      </c>
      <c r="AO632" s="125">
        <f>AM632*2700</f>
        <v>618300</v>
      </c>
      <c r="AP632" s="124"/>
      <c r="AQ632" s="101">
        <v>51368329766026</v>
      </c>
      <c r="AR632" s="100">
        <v>543009992000</v>
      </c>
      <c r="AS632" s="101">
        <v>49377165000</v>
      </c>
      <c r="AT632" s="105">
        <v>115326390000</v>
      </c>
      <c r="AU632" s="55">
        <f t="shared" si="282"/>
        <v>25677047</v>
      </c>
      <c r="AV632" s="99">
        <f t="shared" si="316"/>
        <v>11580105678.6</v>
      </c>
      <c r="AX632" s="74">
        <f t="shared" si="292"/>
        <v>2.2450874016206497E-3</v>
      </c>
    </row>
    <row r="633" spans="1:50" ht="15">
      <c r="A633" s="28">
        <v>44603</v>
      </c>
      <c r="B633" s="65">
        <v>13064535000</v>
      </c>
      <c r="C633" s="65">
        <v>45864945000</v>
      </c>
      <c r="D633" s="141"/>
      <c r="E633" s="65"/>
      <c r="F633" s="65">
        <f t="shared" si="317"/>
        <v>58929480000</v>
      </c>
      <c r="G633" s="65">
        <f t="shared" ref="G633:G635" si="319">ROUND(F633*0.027%,0)</f>
        <v>15910960</v>
      </c>
      <c r="H633" s="58">
        <f t="shared" ref="H633:H634" si="320">J633-I633</f>
        <v>161714000</v>
      </c>
      <c r="I633" s="58"/>
      <c r="J633" s="58">
        <v>161714000</v>
      </c>
      <c r="K633" s="58"/>
      <c r="L633" s="58">
        <f t="shared" ref="L633:L634" si="321">N633-M633</f>
        <v>2945919000</v>
      </c>
      <c r="M633" s="58"/>
      <c r="N633" s="58">
        <v>2945919000</v>
      </c>
      <c r="O633" s="58">
        <f t="shared" ref="O633:O634" si="322">Q633-P633</f>
        <v>77753000</v>
      </c>
      <c r="P633" s="58"/>
      <c r="Q633" s="58">
        <v>77753000</v>
      </c>
      <c r="R633" s="58">
        <f t="shared" ref="R633:R634" si="323">T633-S633</f>
        <v>1487133000</v>
      </c>
      <c r="S633" s="58"/>
      <c r="T633" s="58">
        <v>1487133000</v>
      </c>
      <c r="U633" s="58">
        <f t="shared" ref="U633:U634" si="324">W633-V633</f>
        <v>86120000</v>
      </c>
      <c r="V633" s="58"/>
      <c r="W633" s="58">
        <v>86120000</v>
      </c>
      <c r="X633" s="58">
        <f t="shared" ref="X633:X634" si="325">Z633-Y633</f>
        <v>574121000</v>
      </c>
      <c r="Y633" s="122"/>
      <c r="Z633" s="58">
        <v>574121000</v>
      </c>
      <c r="AA633" s="122"/>
      <c r="AB633" s="122"/>
      <c r="AC633" s="122"/>
      <c r="AD633" s="122"/>
      <c r="AE633" s="122"/>
      <c r="AF633" s="122"/>
      <c r="AG633" s="122"/>
      <c r="AH633" s="122"/>
      <c r="AI633" s="122"/>
      <c r="AJ633" s="121">
        <f t="shared" si="293"/>
        <v>575938</v>
      </c>
      <c r="AK633" s="66">
        <f>430000*0.3</f>
        <v>129000</v>
      </c>
      <c r="AL633" s="54">
        <v>44603</v>
      </c>
      <c r="AM633" s="116">
        <v>334</v>
      </c>
      <c r="AN633" s="42">
        <v>5370300</v>
      </c>
      <c r="AO633" s="125">
        <f t="shared" si="281"/>
        <v>901800</v>
      </c>
      <c r="AP633" s="135"/>
      <c r="AQ633" s="102">
        <v>51210272702754</v>
      </c>
      <c r="AR633" s="102">
        <v>65810124000</v>
      </c>
      <c r="AS633" s="102">
        <v>6878332000</v>
      </c>
      <c r="AT633" s="104">
        <v>65807812000</v>
      </c>
      <c r="AU633" s="55">
        <f t="shared" si="282"/>
        <v>22887998</v>
      </c>
      <c r="AV633" s="99">
        <f t="shared" ref="AV633:AV637" si="326">AV632+AU633</f>
        <v>11602993676.6</v>
      </c>
      <c r="AX633" s="74">
        <f t="shared" ref="AX633:AX647" si="327">AT633/AQ633</f>
        <v>1.2850509971305225E-3</v>
      </c>
    </row>
    <row r="634" spans="1:50" ht="15">
      <c r="A634" s="28">
        <v>44606</v>
      </c>
      <c r="B634" s="56">
        <v>124536572000</v>
      </c>
      <c r="C634" s="56">
        <v>54187820000</v>
      </c>
      <c r="D634" s="56"/>
      <c r="E634" s="56"/>
      <c r="F634" s="65">
        <f t="shared" si="317"/>
        <v>178724392000</v>
      </c>
      <c r="G634" s="65">
        <f t="shared" si="319"/>
        <v>48255586</v>
      </c>
      <c r="H634" s="58">
        <f t="shared" si="320"/>
        <v>532614000</v>
      </c>
      <c r="I634" s="57"/>
      <c r="J634" s="57">
        <v>532614000</v>
      </c>
      <c r="K634" s="57"/>
      <c r="L634" s="58">
        <f t="shared" si="321"/>
        <v>3385992000</v>
      </c>
      <c r="M634" s="57"/>
      <c r="N634" s="57">
        <v>3385992000</v>
      </c>
      <c r="O634" s="58">
        <f t="shared" si="322"/>
        <v>810895000</v>
      </c>
      <c r="P634" s="57"/>
      <c r="Q634" s="57">
        <v>810895000</v>
      </c>
      <c r="R634" s="58">
        <f t="shared" si="323"/>
        <v>2191744000</v>
      </c>
      <c r="S634" s="57"/>
      <c r="T634" s="57">
        <v>2191744000</v>
      </c>
      <c r="U634" s="58">
        <f t="shared" si="324"/>
        <v>588641000</v>
      </c>
      <c r="V634" s="57"/>
      <c r="W634" s="57">
        <v>588641000</v>
      </c>
      <c r="X634" s="58">
        <f t="shared" si="325"/>
        <v>649199000</v>
      </c>
      <c r="Y634" s="121"/>
      <c r="Z634" s="57">
        <v>649199000</v>
      </c>
      <c r="AA634" s="121"/>
      <c r="AB634" s="121"/>
      <c r="AC634" s="121"/>
      <c r="AD634" s="121"/>
      <c r="AE634" s="121"/>
      <c r="AF634" s="121"/>
      <c r="AG634" s="121"/>
      <c r="AH634" s="121"/>
      <c r="AI634" s="121"/>
      <c r="AJ634" s="121">
        <f t="shared" si="293"/>
        <v>881181</v>
      </c>
      <c r="AK634" s="59">
        <f>1128700*0.3</f>
        <v>338610</v>
      </c>
      <c r="AL634" s="54">
        <v>44606</v>
      </c>
      <c r="AM634" s="60">
        <v>1455</v>
      </c>
      <c r="AN634" s="34">
        <f>961*2550</f>
        <v>2450550</v>
      </c>
      <c r="AO634" s="125">
        <f t="shared" si="281"/>
        <v>3928500</v>
      </c>
      <c r="AP634" s="59"/>
      <c r="AQ634" s="100">
        <v>60197035973276</v>
      </c>
      <c r="AR634" s="100">
        <v>70618360000</v>
      </c>
      <c r="AS634" s="100">
        <v>11083358000</v>
      </c>
      <c r="AT634" s="103">
        <v>189807750000</v>
      </c>
      <c r="AU634" s="55">
        <f t="shared" si="282"/>
        <v>55854427</v>
      </c>
      <c r="AV634" s="99">
        <f t="shared" si="326"/>
        <v>11658848103.6</v>
      </c>
      <c r="AX634" s="74">
        <f t="shared" si="327"/>
        <v>3.1531079052507446E-3</v>
      </c>
    </row>
    <row r="635" spans="1:50" ht="15">
      <c r="A635" s="28">
        <v>44607</v>
      </c>
      <c r="B635" s="56">
        <v>66207490000</v>
      </c>
      <c r="C635" s="56"/>
      <c r="D635" s="56">
        <v>12848400000</v>
      </c>
      <c r="E635" s="56"/>
      <c r="F635" s="65">
        <f t="shared" si="317"/>
        <v>79055890000</v>
      </c>
      <c r="G635" s="65">
        <f t="shared" si="319"/>
        <v>21345090</v>
      </c>
      <c r="H635" s="58">
        <f>J635-I635</f>
        <v>9888803000</v>
      </c>
      <c r="I635" s="57">
        <v>7657500000</v>
      </c>
      <c r="J635" s="57">
        <v>17546303000</v>
      </c>
      <c r="K635" s="57"/>
      <c r="L635" s="58">
        <f>N635-M635</f>
        <v>1018801000</v>
      </c>
      <c r="M635" s="57"/>
      <c r="N635" s="57">
        <v>1018801000</v>
      </c>
      <c r="O635" s="58">
        <f>Q635-P635</f>
        <v>19095091000</v>
      </c>
      <c r="P635" s="57"/>
      <c r="Q635" s="57">
        <v>19095091000</v>
      </c>
      <c r="R635" s="58">
        <f>T635-S635</f>
        <v>921724000</v>
      </c>
      <c r="S635" s="57"/>
      <c r="T635" s="57">
        <v>921724000</v>
      </c>
      <c r="U635" s="58">
        <f>W635-V635</f>
        <v>86577000</v>
      </c>
      <c r="V635" s="57"/>
      <c r="W635" s="57">
        <v>86577000</v>
      </c>
      <c r="X635" s="58">
        <f>Z635-Y635</f>
        <v>866271000</v>
      </c>
      <c r="Y635" s="121"/>
      <c r="Z635" s="57">
        <v>866271000</v>
      </c>
      <c r="AA635" s="121"/>
      <c r="AB635" s="121"/>
      <c r="AC635" s="121"/>
      <c r="AD635" s="121"/>
      <c r="AE635" s="121"/>
      <c r="AF635" s="121"/>
      <c r="AG635" s="121"/>
      <c r="AH635" s="121"/>
      <c r="AI635" s="121"/>
      <c r="AJ635" s="121">
        <f t="shared" si="293"/>
        <v>4821095</v>
      </c>
      <c r="AK635" s="59">
        <f>1827200*0.3</f>
        <v>548160</v>
      </c>
      <c r="AL635" s="54">
        <v>44607</v>
      </c>
      <c r="AM635" s="60">
        <v>1174</v>
      </c>
      <c r="AN635" s="34">
        <f>953*2550</f>
        <v>2430150</v>
      </c>
      <c r="AO635" s="125">
        <f t="shared" si="281"/>
        <v>3169800</v>
      </c>
      <c r="AP635" s="59"/>
      <c r="AQ635" s="100">
        <v>45075181420190</v>
      </c>
      <c r="AR635" s="100">
        <v>196198000000</v>
      </c>
      <c r="AS635" s="100">
        <v>50146694000</v>
      </c>
      <c r="AT635" s="103">
        <v>129202584000</v>
      </c>
      <c r="AU635" s="55">
        <f t="shared" si="282"/>
        <v>32314295</v>
      </c>
      <c r="AV635" s="99">
        <f t="shared" si="326"/>
        <v>11691162398.6</v>
      </c>
      <c r="AX635" s="74">
        <f t="shared" si="327"/>
        <v>2.8663796778891676E-3</v>
      </c>
    </row>
    <row r="636" spans="1:50" ht="15">
      <c r="A636" s="28">
        <v>44608</v>
      </c>
      <c r="B636" s="56">
        <v>32706405000</v>
      </c>
      <c r="C636" s="56"/>
      <c r="D636" s="56"/>
      <c r="E636" s="56"/>
      <c r="F636" s="65">
        <f t="shared" si="317"/>
        <v>32706405000</v>
      </c>
      <c r="G636" s="65">
        <f>ROUND(F636*0.027%,0)</f>
        <v>8830729</v>
      </c>
      <c r="H636" s="58">
        <f>J636-I636</f>
        <v>9000025000</v>
      </c>
      <c r="I636" s="57"/>
      <c r="J636" s="57">
        <v>9000025000</v>
      </c>
      <c r="K636" s="57"/>
      <c r="L636" s="58">
        <f>N636-M636</f>
        <v>11321926000</v>
      </c>
      <c r="M636" s="57"/>
      <c r="N636" s="57">
        <v>11321926000</v>
      </c>
      <c r="O636" s="58">
        <f>Q636-P636</f>
        <v>10133915000</v>
      </c>
      <c r="P636" s="57"/>
      <c r="Q636" s="57">
        <v>10133915000</v>
      </c>
      <c r="R636" s="58">
        <f>T636-S636</f>
        <v>1973363000</v>
      </c>
      <c r="S636" s="57">
        <v>1976500000</v>
      </c>
      <c r="T636" s="57">
        <v>3949863000</v>
      </c>
      <c r="U636" s="58">
        <f>W636-V636</f>
        <v>252571000</v>
      </c>
      <c r="V636" s="57"/>
      <c r="W636" s="57">
        <v>252571000</v>
      </c>
      <c r="X636" s="58">
        <f>Z636-Y636</f>
        <v>615052000</v>
      </c>
      <c r="Y636" s="121"/>
      <c r="Z636" s="57">
        <v>615052000</v>
      </c>
      <c r="AA636" s="121"/>
      <c r="AB636" s="121"/>
      <c r="AC636" s="121"/>
      <c r="AD636" s="121"/>
      <c r="AE636" s="121"/>
      <c r="AF636" s="121"/>
      <c r="AG636" s="121"/>
      <c r="AH636" s="121"/>
      <c r="AI636" s="121"/>
      <c r="AJ636" s="121">
        <f t="shared" si="293"/>
        <v>3951830</v>
      </c>
      <c r="AK636" s="59">
        <f>1437000*0.3</f>
        <v>431100</v>
      </c>
      <c r="AL636" s="54">
        <v>44608</v>
      </c>
      <c r="AM636" s="60">
        <v>1239</v>
      </c>
      <c r="AN636" s="34">
        <f>1028*2550</f>
        <v>2621400</v>
      </c>
      <c r="AO636" s="125">
        <f t="shared" si="281"/>
        <v>3345300</v>
      </c>
      <c r="AP636" s="59"/>
      <c r="AQ636" s="100">
        <v>47892891377838</v>
      </c>
      <c r="AR636" s="100">
        <v>134044606000</v>
      </c>
      <c r="AS636" s="100">
        <v>36373064000</v>
      </c>
      <c r="AT636" s="103">
        <v>69079469000</v>
      </c>
      <c r="AU636" s="55">
        <f t="shared" si="282"/>
        <v>19180359</v>
      </c>
      <c r="AV636" s="99">
        <f t="shared" si="326"/>
        <v>11710342757.6</v>
      </c>
      <c r="AX636" s="74">
        <f t="shared" si="327"/>
        <v>1.4423741606038405E-3</v>
      </c>
    </row>
    <row r="637" spans="1:50" ht="15">
      <c r="A637" s="28">
        <v>44609</v>
      </c>
      <c r="B637" s="118">
        <v>111423555000</v>
      </c>
      <c r="C637" s="118">
        <v>3377895000</v>
      </c>
      <c r="D637" s="118"/>
      <c r="E637" s="118"/>
      <c r="F637" s="120">
        <f t="shared" si="317"/>
        <v>114801450000</v>
      </c>
      <c r="G637" s="120">
        <f t="shared" ref="G637" si="328">ROUND(F637*0.027%,0)</f>
        <v>30996392</v>
      </c>
      <c r="H637" s="122">
        <f>J637-I637</f>
        <v>497892000</v>
      </c>
      <c r="I637" s="121">
        <v>15504000000</v>
      </c>
      <c r="J637" s="121">
        <v>16001892000</v>
      </c>
      <c r="K637" s="121"/>
      <c r="L637" s="122">
        <f>N637-M637</f>
        <v>7416304000</v>
      </c>
      <c r="M637" s="121"/>
      <c r="N637" s="121">
        <v>7416304000</v>
      </c>
      <c r="O637" s="122">
        <f>Q637-P637</f>
        <v>542290000</v>
      </c>
      <c r="P637" s="121"/>
      <c r="Q637" s="121">
        <v>542290000</v>
      </c>
      <c r="R637" s="122">
        <f>T637-S637</f>
        <v>1228295000</v>
      </c>
      <c r="S637" s="121"/>
      <c r="T637" s="121">
        <v>1228295000</v>
      </c>
      <c r="U637" s="122">
        <f>W637-V637</f>
        <v>41606000</v>
      </c>
      <c r="V637" s="121"/>
      <c r="W637" s="121">
        <v>41606000</v>
      </c>
      <c r="X637" s="122">
        <f>Z637-Y637</f>
        <v>799838000</v>
      </c>
      <c r="Y637" s="121"/>
      <c r="Z637" s="121">
        <v>799838000</v>
      </c>
      <c r="AA637" s="121"/>
      <c r="AB637" s="121"/>
      <c r="AC637" s="121"/>
      <c r="AD637" s="121"/>
      <c r="AE637" s="121"/>
      <c r="AF637" s="121"/>
      <c r="AG637" s="121"/>
      <c r="AH637" s="121"/>
      <c r="AI637" s="121"/>
      <c r="AJ637" s="121">
        <f t="shared" si="293"/>
        <v>3927552</v>
      </c>
      <c r="AK637" s="124">
        <f>1678400*0.3</f>
        <v>503520</v>
      </c>
      <c r="AL637" s="54">
        <v>44609</v>
      </c>
      <c r="AM637" s="125">
        <v>363</v>
      </c>
      <c r="AN637" s="54">
        <f>1225*2550</f>
        <v>3123750</v>
      </c>
      <c r="AO637" s="125">
        <f>AM637*2700</f>
        <v>980100</v>
      </c>
      <c r="AP637" s="124"/>
      <c r="AQ637" s="101">
        <v>47359916766456</v>
      </c>
      <c r="AR637" s="100">
        <v>96626854000</v>
      </c>
      <c r="AS637" s="101">
        <v>42632725000</v>
      </c>
      <c r="AT637" s="105">
        <v>157434175000</v>
      </c>
      <c r="AU637" s="55">
        <f t="shared" si="282"/>
        <v>39531314</v>
      </c>
      <c r="AV637" s="99">
        <f t="shared" si="326"/>
        <v>11749874071.6</v>
      </c>
      <c r="AX637" s="74">
        <f t="shared" si="327"/>
        <v>3.3242071724143571E-3</v>
      </c>
    </row>
    <row r="638" spans="1:50" ht="15">
      <c r="A638" s="28">
        <v>44610</v>
      </c>
      <c r="B638" s="65">
        <v>15620470000</v>
      </c>
      <c r="C638" s="65"/>
      <c r="D638" s="65">
        <v>12274255000</v>
      </c>
      <c r="E638" s="65">
        <v>6044430000</v>
      </c>
      <c r="F638" s="65">
        <f t="shared" si="317"/>
        <v>33939155000</v>
      </c>
      <c r="G638" s="65">
        <f t="shared" ref="G638:G639" si="329">ROUND(F638*0.027%,0)</f>
        <v>9163572</v>
      </c>
      <c r="H638" s="58">
        <f t="shared" ref="H638:H639" si="330">J638-I638</f>
        <v>7725106000</v>
      </c>
      <c r="I638" s="58">
        <v>2574500000</v>
      </c>
      <c r="J638" s="58">
        <v>10299606000</v>
      </c>
      <c r="K638" s="58"/>
      <c r="L638" s="58">
        <f t="shared" ref="L638:L639" si="331">N638-M638</f>
        <v>11843994000</v>
      </c>
      <c r="M638" s="58"/>
      <c r="N638" s="58">
        <v>11843994000</v>
      </c>
      <c r="O638" s="58">
        <f t="shared" ref="O638:O639" si="332">Q638-P638</f>
        <v>1856074000</v>
      </c>
      <c r="P638" s="58"/>
      <c r="Q638" s="58">
        <v>1856074000</v>
      </c>
      <c r="R638" s="58">
        <f t="shared" ref="R638:R639" si="333">T638-S638</f>
        <v>1157091000</v>
      </c>
      <c r="S638" s="58"/>
      <c r="T638" s="58">
        <v>1157091000</v>
      </c>
      <c r="U638" s="58">
        <f t="shared" ref="U638:U639" si="334">W638-V638</f>
        <v>205581000</v>
      </c>
      <c r="V638" s="58"/>
      <c r="W638" s="58">
        <v>205581000</v>
      </c>
      <c r="X638" s="58">
        <f t="shared" ref="X638:X639" si="335">Z638-Y638</f>
        <v>578978000</v>
      </c>
      <c r="Y638" s="122"/>
      <c r="Z638" s="58">
        <v>578978000</v>
      </c>
      <c r="AA638" s="122"/>
      <c r="AB638" s="122"/>
      <c r="AC638" s="122"/>
      <c r="AD638" s="122"/>
      <c r="AE638" s="122"/>
      <c r="AF638" s="122"/>
      <c r="AG638" s="122"/>
      <c r="AH638" s="122"/>
      <c r="AI638" s="122"/>
      <c r="AJ638" s="121">
        <f t="shared" si="293"/>
        <v>2987027</v>
      </c>
      <c r="AK638" s="66">
        <f>1025400*0.3</f>
        <v>307620</v>
      </c>
      <c r="AL638" s="54">
        <v>44610</v>
      </c>
      <c r="AM638" s="116">
        <v>328</v>
      </c>
      <c r="AN638" s="42">
        <f>834*2550*3</f>
        <v>6380100</v>
      </c>
      <c r="AO638" s="125">
        <f t="shared" ref="AO638:AO641" si="336">AM638*2700</f>
        <v>885600</v>
      </c>
      <c r="AP638" s="135"/>
      <c r="AQ638" s="102">
        <v>52389183507508</v>
      </c>
      <c r="AR638" s="102">
        <v>99988000000</v>
      </c>
      <c r="AS638" s="102">
        <v>29615048000</v>
      </c>
      <c r="AT638" s="104">
        <v>63554203000</v>
      </c>
      <c r="AU638" s="55">
        <f t="shared" si="282"/>
        <v>19723919</v>
      </c>
      <c r="AV638" s="99">
        <f t="shared" ref="AV638:AV644" si="337">AV637+AU638</f>
        <v>11769597990.6</v>
      </c>
      <c r="AX638" s="74">
        <f t="shared" si="327"/>
        <v>1.213116883008721E-3</v>
      </c>
    </row>
    <row r="639" spans="1:50" ht="15">
      <c r="A639" s="28">
        <v>44613</v>
      </c>
      <c r="B639" s="56">
        <v>60697570000</v>
      </c>
      <c r="C639" s="56"/>
      <c r="D639" s="56"/>
      <c r="E639" s="56"/>
      <c r="F639" s="65">
        <f t="shared" si="317"/>
        <v>60697570000</v>
      </c>
      <c r="G639" s="65">
        <f t="shared" si="329"/>
        <v>16388344</v>
      </c>
      <c r="H639" s="58">
        <f t="shared" si="330"/>
        <v>6442136000</v>
      </c>
      <c r="I639" s="57"/>
      <c r="J639" s="57">
        <v>6442136000</v>
      </c>
      <c r="K639" s="57"/>
      <c r="L639" s="58">
        <f t="shared" si="331"/>
        <v>19937313000</v>
      </c>
      <c r="M639" s="57"/>
      <c r="N639" s="57">
        <v>19937313000</v>
      </c>
      <c r="O639" s="58">
        <f t="shared" si="332"/>
        <v>11570804000</v>
      </c>
      <c r="P639" s="57"/>
      <c r="Q639" s="57">
        <v>11570804000</v>
      </c>
      <c r="R639" s="58">
        <f t="shared" si="333"/>
        <v>936534000</v>
      </c>
      <c r="S639" s="57"/>
      <c r="T639" s="57">
        <v>936534000</v>
      </c>
      <c r="U639" s="58">
        <f t="shared" si="334"/>
        <v>194562000</v>
      </c>
      <c r="V639" s="57"/>
      <c r="W639" s="57">
        <v>194562000</v>
      </c>
      <c r="X639" s="58">
        <f t="shared" si="335"/>
        <v>1061427000</v>
      </c>
      <c r="Y639" s="121"/>
      <c r="Z639" s="57">
        <v>1061427000</v>
      </c>
      <c r="AA639" s="121"/>
      <c r="AB639" s="121"/>
      <c r="AC639" s="121"/>
      <c r="AD639" s="121"/>
      <c r="AE639" s="121"/>
      <c r="AF639" s="121"/>
      <c r="AG639" s="121"/>
      <c r="AH639" s="121"/>
      <c r="AI639" s="121"/>
      <c r="AJ639" s="121">
        <f t="shared" si="293"/>
        <v>4335420</v>
      </c>
      <c r="AK639" s="59">
        <f>689600*0.3</f>
        <v>206880</v>
      </c>
      <c r="AL639" s="54">
        <v>44613</v>
      </c>
      <c r="AM639" s="60">
        <v>655</v>
      </c>
      <c r="AN639" s="34">
        <f>1157*2550</f>
        <v>2950350</v>
      </c>
      <c r="AO639" s="125">
        <f t="shared" si="336"/>
        <v>1768500</v>
      </c>
      <c r="AP639" s="59">
        <v>1600000</v>
      </c>
      <c r="AQ639" s="100">
        <v>57233697859440</v>
      </c>
      <c r="AR639" s="100">
        <v>404660866000</v>
      </c>
      <c r="AS639" s="100">
        <v>41306133000</v>
      </c>
      <c r="AT639" s="103">
        <v>102003703000</v>
      </c>
      <c r="AU639" s="55">
        <f t="shared" si="282"/>
        <v>27249494</v>
      </c>
      <c r="AV639" s="99">
        <f t="shared" si="337"/>
        <v>11796847484.6</v>
      </c>
      <c r="AX639" s="74">
        <f t="shared" si="327"/>
        <v>1.7822315666289896E-3</v>
      </c>
    </row>
    <row r="640" spans="1:50" ht="15">
      <c r="A640" s="28">
        <v>44614</v>
      </c>
      <c r="B640" s="56">
        <v>60866850000</v>
      </c>
      <c r="C640" s="56">
        <v>6246305000</v>
      </c>
      <c r="D640" s="56"/>
      <c r="E640" s="56"/>
      <c r="F640" s="65">
        <f t="shared" si="317"/>
        <v>67113155000</v>
      </c>
      <c r="G640" s="65">
        <v>18120549</v>
      </c>
      <c r="H640" s="58">
        <f>J640-I640</f>
        <v>3152597000</v>
      </c>
      <c r="I640" s="57">
        <v>50957000000</v>
      </c>
      <c r="J640" s="57">
        <v>54109597000</v>
      </c>
      <c r="K640" s="57"/>
      <c r="L640" s="58">
        <f>N640-M640</f>
        <v>858802000</v>
      </c>
      <c r="M640" s="57"/>
      <c r="N640" s="57">
        <v>858802000</v>
      </c>
      <c r="O640" s="58">
        <f>Q640-P640</f>
        <v>3006580000</v>
      </c>
      <c r="P640" s="57"/>
      <c r="Q640" s="57">
        <v>3006580000</v>
      </c>
      <c r="R640" s="58">
        <f>T640-S640</f>
        <v>2712011000</v>
      </c>
      <c r="S640" s="57"/>
      <c r="T640" s="57">
        <v>2712011000</v>
      </c>
      <c r="U640" s="58">
        <f>W640-V640</f>
        <v>389103000</v>
      </c>
      <c r="V640" s="57"/>
      <c r="W640" s="57">
        <v>389103000</v>
      </c>
      <c r="X640" s="58">
        <f>Z640-Y640</f>
        <v>1129164000</v>
      </c>
      <c r="Y640" s="121"/>
      <c r="Z640" s="57">
        <v>1129164000</v>
      </c>
      <c r="AA640" s="121"/>
      <c r="AB640" s="121"/>
      <c r="AC640" s="121"/>
      <c r="AD640" s="121"/>
      <c r="AE640" s="121"/>
      <c r="AF640" s="121"/>
      <c r="AG640" s="121"/>
      <c r="AH640" s="121"/>
      <c r="AI640" s="121"/>
      <c r="AJ640" s="121">
        <f t="shared" si="293"/>
        <v>10387072</v>
      </c>
      <c r="AK640" s="59">
        <f>1267700*0.3</f>
        <v>380310</v>
      </c>
      <c r="AL640" s="54">
        <v>44614</v>
      </c>
      <c r="AM640" s="60">
        <v>572</v>
      </c>
      <c r="AN640" s="34">
        <f>1087*2550</f>
        <v>2771850</v>
      </c>
      <c r="AO640" s="125">
        <f t="shared" si="336"/>
        <v>1544400</v>
      </c>
      <c r="AP640" s="59">
        <v>8350403</v>
      </c>
      <c r="AQ640" s="100">
        <v>67764153806506</v>
      </c>
      <c r="AR640" s="100">
        <v>198564178000</v>
      </c>
      <c r="AS640" s="100">
        <v>124534664000</v>
      </c>
      <c r="AT640" s="103">
        <v>191647819000</v>
      </c>
      <c r="AU640" s="55">
        <f t="shared" si="282"/>
        <v>41554584</v>
      </c>
      <c r="AV640" s="99">
        <f t="shared" si="337"/>
        <v>11838402068.6</v>
      </c>
      <c r="AX640" s="74">
        <f t="shared" si="327"/>
        <v>2.8281592587613776E-3</v>
      </c>
    </row>
    <row r="641" spans="1:50" ht="15">
      <c r="A641" s="28">
        <v>44615</v>
      </c>
      <c r="B641" s="56">
        <v>77113455000</v>
      </c>
      <c r="C641" s="56"/>
      <c r="D641" s="56"/>
      <c r="E641" s="56"/>
      <c r="F641" s="65">
        <f t="shared" si="317"/>
        <v>77113455000</v>
      </c>
      <c r="G641" s="65">
        <f>ROUND(F641*0.027%,0)</f>
        <v>20820633</v>
      </c>
      <c r="H641" s="58">
        <f>J641-I641</f>
        <v>5010553000</v>
      </c>
      <c r="I641" s="57">
        <v>82773800000</v>
      </c>
      <c r="J641" s="57">
        <v>87784353000</v>
      </c>
      <c r="K641" s="57"/>
      <c r="L641" s="58">
        <f>N641-M641</f>
        <v>17844318000</v>
      </c>
      <c r="M641" s="57"/>
      <c r="N641" s="57">
        <v>17844318000</v>
      </c>
      <c r="O641" s="58">
        <f>Q641-P641</f>
        <v>3714985000</v>
      </c>
      <c r="P641" s="57"/>
      <c r="Q641" s="57">
        <v>3714985000</v>
      </c>
      <c r="R641" s="58">
        <f>T641-S641</f>
        <v>1344607000</v>
      </c>
      <c r="S641" s="57"/>
      <c r="T641" s="57">
        <v>1344607000</v>
      </c>
      <c r="U641" s="58">
        <f>W641-V641</f>
        <v>227330000</v>
      </c>
      <c r="V641" s="57"/>
      <c r="W641" s="57">
        <v>227330000</v>
      </c>
      <c r="X641" s="58">
        <f>Z641-Y641</f>
        <v>639373000</v>
      </c>
      <c r="Y641" s="121"/>
      <c r="Z641" s="57">
        <v>639373000</v>
      </c>
      <c r="AA641" s="121"/>
      <c r="AB641" s="121"/>
      <c r="AC641" s="121"/>
      <c r="AD641" s="121"/>
      <c r="AE641" s="121"/>
      <c r="AF641" s="121"/>
      <c r="AG641" s="121"/>
      <c r="AH641" s="121"/>
      <c r="AI641" s="121"/>
      <c r="AJ641" s="121">
        <f t="shared" si="293"/>
        <v>18007650</v>
      </c>
      <c r="AK641" s="59">
        <f>1501300*0.3</f>
        <v>450390</v>
      </c>
      <c r="AL641" s="54">
        <v>44615</v>
      </c>
      <c r="AM641" s="60">
        <v>241</v>
      </c>
      <c r="AN641" s="34">
        <v>2886600</v>
      </c>
      <c r="AO641" s="125">
        <f t="shared" si="336"/>
        <v>650700</v>
      </c>
      <c r="AP641" s="59">
        <v>19027060</v>
      </c>
      <c r="AQ641" s="100">
        <v>56314637966518</v>
      </c>
      <c r="AR641" s="100">
        <v>330684000000</v>
      </c>
      <c r="AS641" s="100">
        <v>195437302000</v>
      </c>
      <c r="AT641" s="103">
        <v>272550757000</v>
      </c>
      <c r="AU641" s="55">
        <f t="shared" si="282"/>
        <v>61843033</v>
      </c>
      <c r="AV641" s="99">
        <f t="shared" si="337"/>
        <v>11900245101.6</v>
      </c>
      <c r="AX641" s="74">
        <f t="shared" si="327"/>
        <v>4.8397852999080932E-3</v>
      </c>
    </row>
    <row r="642" spans="1:50" ht="15">
      <c r="A642" s="28">
        <v>44616</v>
      </c>
      <c r="B642" s="118">
        <v>127625550000</v>
      </c>
      <c r="C642" s="118"/>
      <c r="D642" s="118"/>
      <c r="E642" s="118"/>
      <c r="F642" s="120">
        <f t="shared" si="317"/>
        <v>127625550000</v>
      </c>
      <c r="G642" s="120">
        <f t="shared" ref="G642" si="338">ROUND(F642*0.027%,0)</f>
        <v>34458899</v>
      </c>
      <c r="H642" s="122">
        <f>J642-I642</f>
        <v>9220035000</v>
      </c>
      <c r="I642" s="121">
        <v>123328000000</v>
      </c>
      <c r="J642" s="121">
        <v>132548035000</v>
      </c>
      <c r="K642" s="121"/>
      <c r="L642" s="122">
        <f>N642-M642</f>
        <v>23612109000</v>
      </c>
      <c r="M642" s="121">
        <v>73187500000</v>
      </c>
      <c r="N642" s="121">
        <v>96799609000</v>
      </c>
      <c r="O642" s="122">
        <f>Q642-P642</f>
        <v>6580065000</v>
      </c>
      <c r="P642" s="121"/>
      <c r="Q642" s="121">
        <v>6580065000</v>
      </c>
      <c r="R642" s="122">
        <f>T642-S642</f>
        <v>1497061000</v>
      </c>
      <c r="S642" s="121"/>
      <c r="T642" s="121">
        <v>1497061000</v>
      </c>
      <c r="U642" s="122">
        <f>W642-V642</f>
        <v>283294000</v>
      </c>
      <c r="V642" s="121"/>
      <c r="W642" s="121">
        <v>283294000</v>
      </c>
      <c r="X642" s="122">
        <f>Z642-Y642</f>
        <v>735940000</v>
      </c>
      <c r="Y642" s="121"/>
      <c r="Z642" s="121">
        <v>735940000</v>
      </c>
      <c r="AA642" s="121"/>
      <c r="AB642" s="121"/>
      <c r="AC642" s="121"/>
      <c r="AD642" s="121"/>
      <c r="AE642" s="121"/>
      <c r="AF642" s="121"/>
      <c r="AG642" s="121"/>
      <c r="AH642" s="121"/>
      <c r="AI642" s="121"/>
      <c r="AJ642" s="121">
        <f t="shared" si="293"/>
        <v>39901068</v>
      </c>
      <c r="AK642" s="124">
        <f>(1981300*0.3)+300000</f>
        <v>894390</v>
      </c>
      <c r="AL642" s="54">
        <v>44616</v>
      </c>
      <c r="AM642" s="125">
        <v>596</v>
      </c>
      <c r="AN642" s="54">
        <v>3366000</v>
      </c>
      <c r="AO642" s="125">
        <f>AM642*2700</f>
        <v>1609200</v>
      </c>
      <c r="AP642" s="124">
        <v>1284840</v>
      </c>
      <c r="AQ642" s="101">
        <v>85765134111834</v>
      </c>
      <c r="AR642" s="100">
        <v>638048316000</v>
      </c>
      <c r="AS642" s="101">
        <v>436058404000</v>
      </c>
      <c r="AT642" s="105">
        <v>563683954000</v>
      </c>
      <c r="AU642" s="55">
        <f t="shared" ref="AU642:AU673" si="339">G642+AJ642+AK642+AN642+AO642+AP642</f>
        <v>81514397</v>
      </c>
      <c r="AV642" s="99">
        <f t="shared" si="337"/>
        <v>11981759498.6</v>
      </c>
      <c r="AX642" s="74">
        <f t="shared" si="327"/>
        <v>6.5724138350320852E-3</v>
      </c>
    </row>
    <row r="643" spans="1:50" ht="15">
      <c r="A643" s="28">
        <v>44617</v>
      </c>
      <c r="B643" s="65">
        <v>43639310000</v>
      </c>
      <c r="C643" s="65">
        <v>26512900000</v>
      </c>
      <c r="D643" s="65"/>
      <c r="E643" s="65"/>
      <c r="F643" s="65">
        <f t="shared" si="317"/>
        <v>70152210000</v>
      </c>
      <c r="G643" s="65">
        <f t="shared" ref="G643:G645" si="340">ROUND(F643*0.027%,0)</f>
        <v>18941097</v>
      </c>
      <c r="H643" s="58">
        <f t="shared" ref="H643:H644" si="341">J643-I643</f>
        <v>4525064000</v>
      </c>
      <c r="I643" s="58"/>
      <c r="J643" s="58">
        <v>4525064000</v>
      </c>
      <c r="K643" s="58"/>
      <c r="L643" s="58">
        <f t="shared" ref="L643:L644" si="342">N643-M643</f>
        <v>9184948000</v>
      </c>
      <c r="M643" s="58"/>
      <c r="N643" s="58">
        <v>9184948000</v>
      </c>
      <c r="O643" s="58">
        <f t="shared" ref="O643:O644" si="343">Q643-P643</f>
        <v>2108802000</v>
      </c>
      <c r="P643" s="58"/>
      <c r="Q643" s="58">
        <v>2108802000</v>
      </c>
      <c r="R643" s="58">
        <f t="shared" ref="R643:R644" si="344">T643-S643</f>
        <v>1317764000</v>
      </c>
      <c r="S643" s="58"/>
      <c r="T643" s="58">
        <v>1317764000</v>
      </c>
      <c r="U643" s="58">
        <f t="shared" ref="U643:U644" si="345">W643-V643</f>
        <v>378375000</v>
      </c>
      <c r="V643" s="58"/>
      <c r="W643" s="58">
        <v>378375000</v>
      </c>
      <c r="X643" s="58">
        <f t="shared" ref="X643:X644" si="346">Z643-Y643</f>
        <v>522512000</v>
      </c>
      <c r="Y643" s="122"/>
      <c r="Z643" s="58">
        <v>522512000</v>
      </c>
      <c r="AA643" s="122"/>
      <c r="AB643" s="122"/>
      <c r="AC643" s="122"/>
      <c r="AD643" s="122"/>
      <c r="AE643" s="122"/>
      <c r="AF643" s="122"/>
      <c r="AG643" s="122"/>
      <c r="AH643" s="122"/>
      <c r="AI643" s="122"/>
      <c r="AJ643" s="121">
        <f t="shared" si="293"/>
        <v>1948046</v>
      </c>
      <c r="AK643" s="66">
        <f>1367700*0.3</f>
        <v>410310</v>
      </c>
      <c r="AL643" s="54">
        <v>44617</v>
      </c>
      <c r="AM643" s="116">
        <v>346</v>
      </c>
      <c r="AN643" s="42">
        <v>7726500</v>
      </c>
      <c r="AO643" s="125">
        <f t="shared" ref="AO643:AO646" si="347">AM643*2700</f>
        <v>934200</v>
      </c>
      <c r="AP643" s="135"/>
      <c r="AQ643" s="102">
        <v>62088006568548</v>
      </c>
      <c r="AR643" s="102">
        <v>388970394000</v>
      </c>
      <c r="AS643" s="102">
        <v>19153258000</v>
      </c>
      <c r="AT643" s="104">
        <v>89305468000</v>
      </c>
      <c r="AU643" s="55">
        <f t="shared" si="339"/>
        <v>29960153</v>
      </c>
      <c r="AV643" s="99">
        <f t="shared" si="337"/>
        <v>12011719651.6</v>
      </c>
      <c r="AX643" s="74">
        <f t="shared" si="327"/>
        <v>1.4383690657132416E-3</v>
      </c>
    </row>
    <row r="644" spans="1:50" ht="15">
      <c r="A644" s="28">
        <v>44620</v>
      </c>
      <c r="B644" s="56">
        <v>44698060000</v>
      </c>
      <c r="C644" s="56">
        <v>72196985000</v>
      </c>
      <c r="D644" s="56"/>
      <c r="E644" s="56"/>
      <c r="F644" s="65">
        <f t="shared" si="317"/>
        <v>116895045000</v>
      </c>
      <c r="G644" s="65">
        <f t="shared" si="340"/>
        <v>31561662</v>
      </c>
      <c r="H644" s="58">
        <f t="shared" si="341"/>
        <v>5160000</v>
      </c>
      <c r="I644" s="57">
        <v>2544500000</v>
      </c>
      <c r="J644" s="57">
        <v>2549660000</v>
      </c>
      <c r="K644" s="57"/>
      <c r="L644" s="58">
        <f t="shared" si="342"/>
        <v>5900000</v>
      </c>
      <c r="M644" s="57"/>
      <c r="N644" s="57">
        <v>5900000</v>
      </c>
      <c r="O644" s="58">
        <f t="shared" si="343"/>
        <v>1016842000</v>
      </c>
      <c r="P644" s="57"/>
      <c r="Q644" s="57">
        <v>1016842000</v>
      </c>
      <c r="R644" s="58">
        <f t="shared" si="344"/>
        <v>1488692000</v>
      </c>
      <c r="S644" s="57"/>
      <c r="T644" s="57">
        <v>1488692000</v>
      </c>
      <c r="U644" s="58">
        <f t="shared" si="345"/>
        <v>285039000</v>
      </c>
      <c r="V644" s="57"/>
      <c r="W644" s="57">
        <v>285039000</v>
      </c>
      <c r="X644" s="58">
        <f t="shared" si="346"/>
        <v>705236000</v>
      </c>
      <c r="Y644" s="121"/>
      <c r="Z644" s="57">
        <v>705236000</v>
      </c>
      <c r="AA644" s="121"/>
      <c r="AB644" s="121"/>
      <c r="AC644" s="121"/>
      <c r="AD644" s="121"/>
      <c r="AE644" s="121"/>
      <c r="AF644" s="121"/>
      <c r="AG644" s="121"/>
      <c r="AH644" s="121"/>
      <c r="AI644" s="121"/>
      <c r="AJ644" s="121">
        <f t="shared" si="293"/>
        <v>836752</v>
      </c>
      <c r="AK644" s="59">
        <f>213000*0.3</f>
        <v>63900</v>
      </c>
      <c r="AL644" s="54">
        <v>44620</v>
      </c>
      <c r="AM644" s="60">
        <v>671</v>
      </c>
      <c r="AN644" s="34">
        <v>3460350</v>
      </c>
      <c r="AO644" s="125">
        <f t="shared" si="347"/>
        <v>1811700</v>
      </c>
      <c r="AP644" s="59"/>
      <c r="AQ644" s="100">
        <v>56799898527790</v>
      </c>
      <c r="AR644" s="100">
        <v>347917976000</v>
      </c>
      <c r="AS644" s="100">
        <v>7397817000</v>
      </c>
      <c r="AT644" s="103">
        <v>124292862000</v>
      </c>
      <c r="AU644" s="55">
        <f t="shared" si="339"/>
        <v>37734364</v>
      </c>
      <c r="AV644" s="99">
        <f t="shared" si="337"/>
        <v>12049454015.6</v>
      </c>
      <c r="AX644" s="74">
        <f t="shared" si="327"/>
        <v>2.1882585219617653E-3</v>
      </c>
    </row>
    <row r="645" spans="1:50" ht="15">
      <c r="A645" s="28">
        <v>44621</v>
      </c>
      <c r="B645" s="56">
        <v>50082115000</v>
      </c>
      <c r="C645" s="56">
        <v>40045670000</v>
      </c>
      <c r="D645" s="56"/>
      <c r="E645" s="56"/>
      <c r="F645" s="65">
        <f t="shared" ref="F645:F667" si="348">SUM(B645:E645)</f>
        <v>90127785000</v>
      </c>
      <c r="G645" s="65">
        <f t="shared" si="340"/>
        <v>24334502</v>
      </c>
      <c r="H645" s="58">
        <f>J645-I645</f>
        <v>743760000</v>
      </c>
      <c r="I645" s="57">
        <v>2553500000</v>
      </c>
      <c r="J645" s="57">
        <v>3297260000</v>
      </c>
      <c r="K645" s="57"/>
      <c r="L645" s="58">
        <f>N645-M645</f>
        <v>1034640000</v>
      </c>
      <c r="M645" s="57"/>
      <c r="N645" s="57">
        <v>1034640000</v>
      </c>
      <c r="O645" s="58">
        <f>Q645-P645</f>
        <v>4790275000</v>
      </c>
      <c r="P645" s="57"/>
      <c r="Q645" s="57">
        <v>4790275000</v>
      </c>
      <c r="R645" s="58">
        <f>T645-S645</f>
        <v>1791305000</v>
      </c>
      <c r="S645" s="57"/>
      <c r="T645" s="57">
        <v>1791305000</v>
      </c>
      <c r="U645" s="58">
        <f>W645-V645</f>
        <v>240929000</v>
      </c>
      <c r="V645" s="57"/>
      <c r="W645" s="57">
        <v>240929000</v>
      </c>
      <c r="X645" s="58">
        <f>Z645-Y645</f>
        <v>514655000</v>
      </c>
      <c r="Y645" s="121"/>
      <c r="Z645" s="57">
        <v>514655000</v>
      </c>
      <c r="AA645" s="121"/>
      <c r="AB645" s="121"/>
      <c r="AC645" s="121"/>
      <c r="AD645" s="121"/>
      <c r="AE645" s="121"/>
      <c r="AF645" s="121"/>
      <c r="AG645" s="121"/>
      <c r="AH645" s="121"/>
      <c r="AI645" s="121"/>
      <c r="AJ645" s="121">
        <f t="shared" si="293"/>
        <v>1444111</v>
      </c>
      <c r="AK645" s="59">
        <f>807000*0.3</f>
        <v>242100</v>
      </c>
      <c r="AL645" s="54">
        <v>44621</v>
      </c>
      <c r="AM645" s="60">
        <v>609</v>
      </c>
      <c r="AN645" s="34">
        <v>2646900</v>
      </c>
      <c r="AO645" s="125">
        <f t="shared" si="347"/>
        <v>1644300</v>
      </c>
      <c r="AP645" s="59"/>
      <c r="AQ645" s="100">
        <v>63798216148882</v>
      </c>
      <c r="AR645" s="100">
        <v>834185864000</v>
      </c>
      <c r="AS645" s="100">
        <v>15378275000</v>
      </c>
      <c r="AT645" s="103">
        <v>105506060000</v>
      </c>
      <c r="AU645" s="55">
        <f t="shared" si="339"/>
        <v>30311913</v>
      </c>
      <c r="AV645" s="99">
        <f t="shared" ref="AV645:AV647" si="349">AV644+AU645</f>
        <v>12079765928.6</v>
      </c>
      <c r="AX645" s="74">
        <f t="shared" si="327"/>
        <v>1.6537462388256587E-3</v>
      </c>
    </row>
    <row r="646" spans="1:50" ht="15">
      <c r="A646" s="28">
        <v>44622</v>
      </c>
      <c r="B646" s="56">
        <v>55467825000</v>
      </c>
      <c r="C646" s="56"/>
      <c r="D646" s="56"/>
      <c r="E646" s="56"/>
      <c r="F646" s="65">
        <f t="shared" si="348"/>
        <v>55467825000</v>
      </c>
      <c r="G646" s="65">
        <f>ROUND(F646*0.027%,0)</f>
        <v>14976313</v>
      </c>
      <c r="H646" s="58">
        <f>J646-I646</f>
        <v>11920666000</v>
      </c>
      <c r="I646" s="57">
        <v>2529000000</v>
      </c>
      <c r="J646" s="57">
        <v>14449666000</v>
      </c>
      <c r="K646" s="57"/>
      <c r="L646" s="58">
        <f>N646-M646</f>
        <v>27092879000</v>
      </c>
      <c r="M646" s="57"/>
      <c r="N646" s="57">
        <v>27092879000</v>
      </c>
      <c r="O646" s="58">
        <f>Q646-P646</f>
        <v>1823075000</v>
      </c>
      <c r="P646" s="57"/>
      <c r="Q646" s="57">
        <v>1823075000</v>
      </c>
      <c r="R646" s="58">
        <f>T646-S646</f>
        <v>1672009000</v>
      </c>
      <c r="S646" s="57"/>
      <c r="T646" s="57">
        <v>1672009000</v>
      </c>
      <c r="U646" s="58">
        <f>W646-V646</f>
        <v>246543000</v>
      </c>
      <c r="V646" s="57"/>
      <c r="W646" s="57">
        <v>246543000</v>
      </c>
      <c r="X646" s="58">
        <f>Z646-Y646</f>
        <v>767010000</v>
      </c>
      <c r="Y646" s="121"/>
      <c r="Z646" s="57">
        <v>767010000</v>
      </c>
      <c r="AA646" s="121"/>
      <c r="AB646" s="121"/>
      <c r="AC646" s="121"/>
      <c r="AD646" s="121"/>
      <c r="AE646" s="121"/>
      <c r="AF646" s="121"/>
      <c r="AG646" s="121"/>
      <c r="AH646" s="121"/>
      <c r="AI646" s="121"/>
      <c r="AJ646" s="121">
        <f t="shared" si="293"/>
        <v>5155616</v>
      </c>
      <c r="AK646" s="59">
        <f>275900*0.3</f>
        <v>82770</v>
      </c>
      <c r="AL646" s="54">
        <v>44622</v>
      </c>
      <c r="AM646" s="60">
        <v>686</v>
      </c>
      <c r="AN646" s="34">
        <v>4074900</v>
      </c>
      <c r="AO646" s="125">
        <f t="shared" si="347"/>
        <v>1852200</v>
      </c>
      <c r="AP646" s="59"/>
      <c r="AQ646" s="100">
        <v>71798101286664</v>
      </c>
      <c r="AR646" s="100">
        <v>327316000000</v>
      </c>
      <c r="AS646" s="100">
        <v>49717170000</v>
      </c>
      <c r="AT646" s="103">
        <v>105184995000</v>
      </c>
      <c r="AU646" s="55">
        <f t="shared" si="339"/>
        <v>26141799</v>
      </c>
      <c r="AV646" s="99">
        <f t="shared" si="349"/>
        <v>12105907727.6</v>
      </c>
      <c r="AX646" s="74">
        <f t="shared" si="327"/>
        <v>1.4650108166514618E-3</v>
      </c>
    </row>
    <row r="647" spans="1:50" ht="15">
      <c r="A647" s="28">
        <v>44623</v>
      </c>
      <c r="B647" s="118">
        <v>34599059000</v>
      </c>
      <c r="C647" s="118"/>
      <c r="D647" s="118"/>
      <c r="E647" s="118"/>
      <c r="F647" s="120">
        <f t="shared" si="348"/>
        <v>34599059000</v>
      </c>
      <c r="G647" s="120">
        <f t="shared" ref="G647" si="350">ROUND(F647*0.027%,0)</f>
        <v>9341746</v>
      </c>
      <c r="H647" s="122">
        <f>J647-I647</f>
        <v>14719297000</v>
      </c>
      <c r="I647" s="121">
        <v>2531000000</v>
      </c>
      <c r="J647" s="121">
        <v>17250297000</v>
      </c>
      <c r="K647" s="121"/>
      <c r="L647" s="122">
        <f>N647-M647</f>
        <v>9783354000</v>
      </c>
      <c r="M647" s="121"/>
      <c r="N647" s="121">
        <v>9783354000</v>
      </c>
      <c r="O647" s="122">
        <f>Q647-P647</f>
        <v>2190970000</v>
      </c>
      <c r="P647" s="121"/>
      <c r="Q647" s="121">
        <v>2190970000</v>
      </c>
      <c r="R647" s="122">
        <f>T647-S647</f>
        <v>11921899000</v>
      </c>
      <c r="S647" s="121"/>
      <c r="T647" s="121">
        <v>11921899000</v>
      </c>
      <c r="U647" s="122">
        <f>W647-V647</f>
        <v>284242000</v>
      </c>
      <c r="V647" s="121"/>
      <c r="W647" s="121">
        <v>284242000</v>
      </c>
      <c r="X647" s="122">
        <f>Z647-Y647</f>
        <v>723262000</v>
      </c>
      <c r="Y647" s="121"/>
      <c r="Z647" s="121">
        <v>723262000</v>
      </c>
      <c r="AA647" s="121"/>
      <c r="AB647" s="121"/>
      <c r="AC647" s="121"/>
      <c r="AD647" s="121"/>
      <c r="AE647" s="121"/>
      <c r="AF647" s="121"/>
      <c r="AG647" s="121"/>
      <c r="AH647" s="121"/>
      <c r="AI647" s="121"/>
      <c r="AJ647" s="121">
        <f t="shared" si="293"/>
        <v>4734867</v>
      </c>
      <c r="AK647" s="124">
        <f>1398300*0.3</f>
        <v>419490</v>
      </c>
      <c r="AL647" s="54">
        <v>44623</v>
      </c>
      <c r="AM647" s="125">
        <v>466</v>
      </c>
      <c r="AN647" s="54">
        <v>4080000</v>
      </c>
      <c r="AO647" s="125">
        <f>AM647*2700</f>
        <v>1258200</v>
      </c>
      <c r="AP647" s="124"/>
      <c r="AQ647" s="101">
        <v>73414505933670</v>
      </c>
      <c r="AR647" s="100">
        <v>143235410000</v>
      </c>
      <c r="AS647" s="101">
        <v>43242918000</v>
      </c>
      <c r="AT647" s="105">
        <v>77841977000</v>
      </c>
      <c r="AU647" s="55">
        <f t="shared" si="339"/>
        <v>19834303</v>
      </c>
      <c r="AV647" s="99">
        <f t="shared" si="349"/>
        <v>12125742030.6</v>
      </c>
      <c r="AX647" s="74">
        <f t="shared" si="327"/>
        <v>1.0603078507445138E-3</v>
      </c>
    </row>
    <row r="648" spans="1:50" ht="15">
      <c r="A648" s="28">
        <v>44624</v>
      </c>
      <c r="B648" s="65">
        <v>77593105000</v>
      </c>
      <c r="C648" s="65">
        <v>1218560000</v>
      </c>
      <c r="D648" s="65">
        <v>6333935000</v>
      </c>
      <c r="E648" s="65"/>
      <c r="F648" s="65">
        <f t="shared" si="348"/>
        <v>85145600000</v>
      </c>
      <c r="G648" s="65">
        <f t="shared" ref="G648:G650" si="351">ROUND(F648*0.027%,0)</f>
        <v>22989312</v>
      </c>
      <c r="H648" s="58">
        <f t="shared" ref="H648:H649" si="352">J648-I648</f>
        <v>6862315000</v>
      </c>
      <c r="I648" s="58">
        <v>34554300000</v>
      </c>
      <c r="J648" s="58">
        <v>41416615000</v>
      </c>
      <c r="K648" s="58"/>
      <c r="L648" s="58">
        <f t="shared" ref="L648:L649" si="353">N648-M648</f>
        <v>5021182000</v>
      </c>
      <c r="M648" s="58"/>
      <c r="N648" s="58">
        <v>5021182000</v>
      </c>
      <c r="O648" s="58">
        <f t="shared" ref="O648:O649" si="354">Q648-P648</f>
        <v>325985000</v>
      </c>
      <c r="P648" s="58"/>
      <c r="Q648" s="58">
        <v>325985000</v>
      </c>
      <c r="R648" s="58">
        <f t="shared" ref="R648:R649" si="355">T648-S648</f>
        <v>1645582000</v>
      </c>
      <c r="S648" s="58"/>
      <c r="T648" s="58">
        <v>1645582000</v>
      </c>
      <c r="U648" s="58">
        <f t="shared" ref="U648:U649" si="356">W648-V648</f>
        <v>288879000</v>
      </c>
      <c r="V648" s="58"/>
      <c r="W648" s="58">
        <v>288879000</v>
      </c>
      <c r="X648" s="58">
        <f t="shared" ref="X648:X649" si="357">Z648-Y648</f>
        <v>520833000</v>
      </c>
      <c r="Y648" s="122"/>
      <c r="Z648" s="58">
        <v>520833000</v>
      </c>
      <c r="AA648" s="122"/>
      <c r="AB648" s="122"/>
      <c r="AC648" s="122"/>
      <c r="AD648" s="122"/>
      <c r="AE648" s="122"/>
      <c r="AF648" s="122"/>
      <c r="AG648" s="122"/>
      <c r="AH648" s="122"/>
      <c r="AI648" s="122"/>
      <c r="AJ648" s="121">
        <f t="shared" si="293"/>
        <v>7803570</v>
      </c>
      <c r="AK648" s="66">
        <f>1894000*0.3</f>
        <v>568200</v>
      </c>
      <c r="AL648" s="54">
        <v>44624</v>
      </c>
      <c r="AM648" s="116">
        <v>387</v>
      </c>
      <c r="AN648" s="42">
        <v>9294750</v>
      </c>
      <c r="AO648" s="125">
        <f t="shared" ref="AO648:AO651" si="358">AM648*2700</f>
        <v>1044900</v>
      </c>
      <c r="AP648" s="135"/>
      <c r="AQ648" s="102">
        <v>71673043528536</v>
      </c>
      <c r="AR648" s="102">
        <v>259466048000</v>
      </c>
      <c r="AS648" s="102">
        <v>84869676000</v>
      </c>
      <c r="AT648" s="104">
        <v>163681341000</v>
      </c>
      <c r="AU648" s="55">
        <f t="shared" si="339"/>
        <v>41700732</v>
      </c>
      <c r="AV648" s="99">
        <f t="shared" ref="AV648:AV652" si="359">AV647+AU648</f>
        <v>12167442762.6</v>
      </c>
      <c r="AX648" s="74">
        <f t="shared" ref="AX648:AX652" si="360">AT648/AQ648</f>
        <v>2.2837224839605381E-3</v>
      </c>
    </row>
    <row r="649" spans="1:50" ht="15">
      <c r="A649" s="28">
        <v>44627</v>
      </c>
      <c r="B649" s="56">
        <v>73561695000</v>
      </c>
      <c r="C649" s="56"/>
      <c r="D649" s="56"/>
      <c r="E649" s="56">
        <v>2977835000</v>
      </c>
      <c r="F649" s="65">
        <f t="shared" si="348"/>
        <v>76539530000</v>
      </c>
      <c r="G649" s="65">
        <f t="shared" si="351"/>
        <v>20665673</v>
      </c>
      <c r="H649" s="58">
        <f t="shared" si="352"/>
        <v>1632926000</v>
      </c>
      <c r="I649" s="57">
        <v>38107000000</v>
      </c>
      <c r="J649" s="57">
        <v>39739926000</v>
      </c>
      <c r="K649" s="57"/>
      <c r="L649" s="58">
        <f t="shared" si="353"/>
        <v>7258793000</v>
      </c>
      <c r="M649" s="57"/>
      <c r="N649" s="57">
        <v>7258793000</v>
      </c>
      <c r="O649" s="58">
        <f t="shared" si="354"/>
        <v>2814897000</v>
      </c>
      <c r="P649" s="57"/>
      <c r="Q649" s="57">
        <v>2814897000</v>
      </c>
      <c r="R649" s="58">
        <f t="shared" si="355"/>
        <v>660931000</v>
      </c>
      <c r="S649" s="57"/>
      <c r="T649" s="57">
        <v>660931000</v>
      </c>
      <c r="U649" s="58">
        <f t="shared" si="356"/>
        <v>104368000</v>
      </c>
      <c r="V649" s="57"/>
      <c r="W649" s="57">
        <v>104368000</v>
      </c>
      <c r="X649" s="58">
        <f t="shared" si="357"/>
        <v>837157000</v>
      </c>
      <c r="Y649" s="121"/>
      <c r="Z649" s="57">
        <v>837157000</v>
      </c>
      <c r="AA649" s="121"/>
      <c r="AB649" s="121"/>
      <c r="AC649" s="121"/>
      <c r="AD649" s="121"/>
      <c r="AE649" s="121"/>
      <c r="AF649" s="121"/>
      <c r="AG649" s="121"/>
      <c r="AH649" s="121"/>
      <c r="AI649" s="121"/>
      <c r="AJ649" s="121">
        <f t="shared" si="293"/>
        <v>8296640</v>
      </c>
      <c r="AK649" s="59">
        <f>1400900*0.3</f>
        <v>420270</v>
      </c>
      <c r="AL649" s="54">
        <v>44627</v>
      </c>
      <c r="AM649" s="60">
        <v>163</v>
      </c>
      <c r="AN649" s="34">
        <v>3360900</v>
      </c>
      <c r="AO649" s="125">
        <f t="shared" si="358"/>
        <v>440100</v>
      </c>
      <c r="AP649" s="59"/>
      <c r="AQ649" s="100">
        <v>76577433339102</v>
      </c>
      <c r="AR649" s="100">
        <v>880539370000</v>
      </c>
      <c r="AS649" s="100">
        <v>93764674000</v>
      </c>
      <c r="AT649" s="103">
        <v>173660304000</v>
      </c>
      <c r="AU649" s="55">
        <f t="shared" si="339"/>
        <v>33183583</v>
      </c>
      <c r="AV649" s="99">
        <f t="shared" si="359"/>
        <v>12200626345.6</v>
      </c>
      <c r="AX649" s="74">
        <f t="shared" si="360"/>
        <v>2.2677738914412726E-3</v>
      </c>
    </row>
    <row r="650" spans="1:50" ht="15">
      <c r="A650" s="28">
        <v>44628</v>
      </c>
      <c r="B650" s="56">
        <v>49583400000</v>
      </c>
      <c r="C650" s="56">
        <v>12765465000</v>
      </c>
      <c r="D650" s="56"/>
      <c r="E650" s="56"/>
      <c r="F650" s="65">
        <f t="shared" si="348"/>
        <v>62348865000</v>
      </c>
      <c r="G650" s="65">
        <f t="shared" si="351"/>
        <v>16834194</v>
      </c>
      <c r="H650" s="58">
        <f>J650-I650</f>
        <v>13902999000</v>
      </c>
      <c r="I650" s="57">
        <v>46633250000</v>
      </c>
      <c r="J650" s="57">
        <v>60536249000</v>
      </c>
      <c r="K650" s="57"/>
      <c r="L650" s="58">
        <f>N650-M650</f>
        <v>1786456000</v>
      </c>
      <c r="M650" s="57"/>
      <c r="N650" s="57">
        <v>1786456000</v>
      </c>
      <c r="O650" s="58">
        <f>Q650-P650</f>
        <v>749361000</v>
      </c>
      <c r="P650" s="57"/>
      <c r="Q650" s="57">
        <v>749361000</v>
      </c>
      <c r="R650" s="58">
        <f>T650-S650</f>
        <v>4271789000</v>
      </c>
      <c r="S650" s="57"/>
      <c r="T650" s="57">
        <v>4271789000</v>
      </c>
      <c r="U650" s="58">
        <f>W650-V650</f>
        <v>420685000</v>
      </c>
      <c r="V650" s="57"/>
      <c r="W650" s="57">
        <v>420685000</v>
      </c>
      <c r="X650" s="58">
        <f>Z650-Y650</f>
        <v>572983000</v>
      </c>
      <c r="Y650" s="121"/>
      <c r="Z650" s="57">
        <v>572983000</v>
      </c>
      <c r="AA650" s="121"/>
      <c r="AB650" s="121"/>
      <c r="AC650" s="121"/>
      <c r="AD650" s="121"/>
      <c r="AE650" s="121"/>
      <c r="AF650" s="121"/>
      <c r="AG650" s="121"/>
      <c r="AH650" s="121"/>
      <c r="AI650" s="121"/>
      <c r="AJ650" s="121">
        <f t="shared" si="293"/>
        <v>10738046</v>
      </c>
      <c r="AK650" s="59">
        <f>831200*0.3</f>
        <v>249360</v>
      </c>
      <c r="AL650" s="54">
        <v>44628</v>
      </c>
      <c r="AM650" s="60">
        <v>429</v>
      </c>
      <c r="AN650" s="34">
        <v>3929550</v>
      </c>
      <c r="AO650" s="125">
        <f t="shared" si="358"/>
        <v>1158300</v>
      </c>
      <c r="AP650" s="59"/>
      <c r="AQ650" s="100">
        <v>83319625958826</v>
      </c>
      <c r="AR650" s="100">
        <v>470895956000</v>
      </c>
      <c r="AS650" s="100">
        <v>116057373000</v>
      </c>
      <c r="AT650" s="103">
        <v>181384073000</v>
      </c>
      <c r="AU650" s="55">
        <f t="shared" si="339"/>
        <v>32909450</v>
      </c>
      <c r="AV650" s="99">
        <f t="shared" si="359"/>
        <v>12233535795.6</v>
      </c>
      <c r="AX650" s="74">
        <f t="shared" si="360"/>
        <v>2.1769669620172617E-3</v>
      </c>
    </row>
    <row r="651" spans="1:50" ht="15">
      <c r="A651" s="28">
        <v>44629</v>
      </c>
      <c r="B651" s="56">
        <v>38224888000</v>
      </c>
      <c r="C651" s="56"/>
      <c r="D651" s="56"/>
      <c r="E651" s="56"/>
      <c r="F651" s="65">
        <f t="shared" si="348"/>
        <v>38224888000</v>
      </c>
      <c r="G651" s="65">
        <f>ROUND(F651*0.027%,0)</f>
        <v>10320720</v>
      </c>
      <c r="H651" s="58">
        <f>J651-I651</f>
        <v>25269701000</v>
      </c>
      <c r="I651" s="57">
        <v>2500100000</v>
      </c>
      <c r="J651" s="57">
        <v>27769801000</v>
      </c>
      <c r="K651" s="57"/>
      <c r="L651" s="58">
        <f>N651-M651</f>
        <v>9799822000</v>
      </c>
      <c r="M651" s="57"/>
      <c r="N651" s="57">
        <v>9799822000</v>
      </c>
      <c r="O651" s="58">
        <f>Q651-P651</f>
        <v>5666385000</v>
      </c>
      <c r="P651" s="57"/>
      <c r="Q651" s="57">
        <v>5666385000</v>
      </c>
      <c r="R651" s="58">
        <f>T651-S651</f>
        <v>2702589000</v>
      </c>
      <c r="S651" s="57"/>
      <c r="T651" s="57">
        <v>2702589000</v>
      </c>
      <c r="U651" s="58">
        <f>W651-V651</f>
        <v>35213000</v>
      </c>
      <c r="V651" s="57"/>
      <c r="W651" s="57">
        <v>35213000</v>
      </c>
      <c r="X651" s="58">
        <f>Z651-Y651</f>
        <v>487000000</v>
      </c>
      <c r="Y651" s="121"/>
      <c r="Z651" s="57">
        <v>487000000</v>
      </c>
      <c r="AA651" s="121"/>
      <c r="AB651" s="121"/>
      <c r="AC651" s="121"/>
      <c r="AD651" s="121"/>
      <c r="AE651" s="121"/>
      <c r="AF651" s="121"/>
      <c r="AG651" s="121"/>
      <c r="AH651" s="121"/>
      <c r="AI651" s="121"/>
      <c r="AJ651" s="121">
        <f t="shared" si="293"/>
        <v>5197775</v>
      </c>
      <c r="AK651" s="59">
        <f>573400*0.3</f>
        <v>172020</v>
      </c>
      <c r="AL651" s="54">
        <v>44629</v>
      </c>
      <c r="AM651" s="60">
        <v>582</v>
      </c>
      <c r="AN651" s="34">
        <v>4954650</v>
      </c>
      <c r="AO651" s="125">
        <f t="shared" si="358"/>
        <v>1571400</v>
      </c>
      <c r="AP651" s="59"/>
      <c r="AQ651" s="100">
        <v>74796494096812</v>
      </c>
      <c r="AR651" s="100">
        <v>324383946000</v>
      </c>
      <c r="AS651" s="100">
        <v>50046210000</v>
      </c>
      <c r="AT651" s="103">
        <v>88271098000</v>
      </c>
      <c r="AU651" s="55">
        <f t="shared" si="339"/>
        <v>22216565</v>
      </c>
      <c r="AV651" s="99">
        <f t="shared" si="359"/>
        <v>12255752360.6</v>
      </c>
      <c r="AX651" s="74">
        <f t="shared" si="360"/>
        <v>1.1801502071172921E-3</v>
      </c>
    </row>
    <row r="652" spans="1:50" ht="15">
      <c r="A652" s="28">
        <v>44630</v>
      </c>
      <c r="B652" s="118">
        <v>25045085000</v>
      </c>
      <c r="C652" s="118">
        <v>18369065000</v>
      </c>
      <c r="D652" s="118"/>
      <c r="E652" s="118"/>
      <c r="F652" s="120">
        <f t="shared" si="348"/>
        <v>43414150000</v>
      </c>
      <c r="G652" s="120">
        <f t="shared" ref="G652" si="361">ROUND(F652*0.027%,0)</f>
        <v>11721821</v>
      </c>
      <c r="H652" s="122">
        <f>J652-I652</f>
        <v>291611000</v>
      </c>
      <c r="I652" s="121"/>
      <c r="J652" s="121">
        <v>291611000</v>
      </c>
      <c r="K652" s="121"/>
      <c r="L652" s="122">
        <f>N652-M652</f>
        <v>1881486000</v>
      </c>
      <c r="M652" s="121"/>
      <c r="N652" s="121">
        <v>1881486000</v>
      </c>
      <c r="O652" s="122">
        <f>Q652-P652</f>
        <v>841219000</v>
      </c>
      <c r="P652" s="121"/>
      <c r="Q652" s="121">
        <v>841219000</v>
      </c>
      <c r="R652" s="122">
        <f>T652-S652</f>
        <v>1711604000</v>
      </c>
      <c r="S652" s="121"/>
      <c r="T652" s="121">
        <v>1711604000</v>
      </c>
      <c r="U652" s="122">
        <f>W652-V652</f>
        <v>562113000</v>
      </c>
      <c r="V652" s="121"/>
      <c r="W652" s="121">
        <v>562113000</v>
      </c>
      <c r="X652" s="122">
        <f>Z652-Y652</f>
        <v>489978000</v>
      </c>
      <c r="Y652" s="121"/>
      <c r="Z652" s="121">
        <v>489978000</v>
      </c>
      <c r="AA652" s="121"/>
      <c r="AB652" s="121"/>
      <c r="AC652" s="121"/>
      <c r="AD652" s="121"/>
      <c r="AE652" s="121"/>
      <c r="AF652" s="121"/>
      <c r="AG652" s="121"/>
      <c r="AH652" s="121"/>
      <c r="AI652" s="121"/>
      <c r="AJ652" s="121">
        <f t="shared" si="293"/>
        <v>624025</v>
      </c>
      <c r="AK652" s="124">
        <f>430000*0.3</f>
        <v>129000</v>
      </c>
      <c r="AL652" s="54">
        <v>44630</v>
      </c>
      <c r="AM652" s="125">
        <v>224</v>
      </c>
      <c r="AN652" s="54">
        <v>4730250</v>
      </c>
      <c r="AO652" s="125">
        <f>AM652*2700</f>
        <v>604800</v>
      </c>
      <c r="AP652" s="124"/>
      <c r="AQ652" s="101">
        <v>54656571627108</v>
      </c>
      <c r="AR652" s="100">
        <v>49731762000</v>
      </c>
      <c r="AS652" s="101">
        <v>6857711000</v>
      </c>
      <c r="AT652" s="105">
        <v>50271861000</v>
      </c>
      <c r="AU652" s="55">
        <f t="shared" si="339"/>
        <v>17809896</v>
      </c>
      <c r="AV652" s="99">
        <f t="shared" si="359"/>
        <v>12273562256.6</v>
      </c>
      <c r="AX652" s="74">
        <f t="shared" si="360"/>
        <v>9.1977706437530531E-4</v>
      </c>
    </row>
    <row r="653" spans="1:50" ht="15">
      <c r="A653" s="28">
        <v>44631</v>
      </c>
      <c r="B653" s="65">
        <v>71582625000</v>
      </c>
      <c r="C653" s="65">
        <v>15949775000</v>
      </c>
      <c r="D653" s="65"/>
      <c r="E653" s="65">
        <v>3057210000</v>
      </c>
      <c r="F653" s="65">
        <f t="shared" si="348"/>
        <v>90589610000</v>
      </c>
      <c r="G653" s="65">
        <f t="shared" ref="G653:G655" si="362">ROUND(F653*0.027%,0)</f>
        <v>24459195</v>
      </c>
      <c r="H653" s="58">
        <f t="shared" ref="H653:H654" si="363">J653-I653</f>
        <v>10641178000</v>
      </c>
      <c r="I653" s="58">
        <v>3360825000</v>
      </c>
      <c r="J653" s="58">
        <v>14002003000</v>
      </c>
      <c r="K653" s="58"/>
      <c r="L653" s="58">
        <f t="shared" ref="L653:L654" si="364">N653-M653</f>
        <v>569575000</v>
      </c>
      <c r="M653" s="58"/>
      <c r="N653" s="58">
        <v>569575000</v>
      </c>
      <c r="O653" s="58">
        <f t="shared" ref="O653:O654" si="365">Q653-P653</f>
        <v>439538000</v>
      </c>
      <c r="P653" s="58"/>
      <c r="Q653" s="58">
        <v>439538000</v>
      </c>
      <c r="R653" s="58">
        <f t="shared" ref="R653:R654" si="366">T653-S653</f>
        <v>4128839000</v>
      </c>
      <c r="S653" s="58"/>
      <c r="T653" s="58">
        <v>4128839000</v>
      </c>
      <c r="U653" s="58">
        <f t="shared" ref="U653:U654" si="367">W653-V653</f>
        <v>320401000</v>
      </c>
      <c r="V653" s="58"/>
      <c r="W653" s="58">
        <v>320401000</v>
      </c>
      <c r="X653" s="58">
        <f t="shared" ref="X653:X654" si="368">Z653-Y653</f>
        <v>560499000</v>
      </c>
      <c r="Y653" s="122"/>
      <c r="Z653" s="58">
        <v>560499000</v>
      </c>
      <c r="AA653" s="122"/>
      <c r="AB653" s="122"/>
      <c r="AC653" s="122"/>
      <c r="AD653" s="122"/>
      <c r="AE653" s="122"/>
      <c r="AF653" s="122"/>
      <c r="AG653" s="122"/>
      <c r="AH653" s="122"/>
      <c r="AI653" s="122"/>
      <c r="AJ653" s="121">
        <f t="shared" si="293"/>
        <v>2404232</v>
      </c>
      <c r="AK653" s="66">
        <f>799600*0.3</f>
        <v>239880</v>
      </c>
      <c r="AL653" s="54">
        <v>44631</v>
      </c>
      <c r="AM653" s="116">
        <v>702</v>
      </c>
      <c r="AN653" s="42">
        <v>14634450</v>
      </c>
      <c r="AO653" s="125">
        <f t="shared" ref="AO653:AO656" si="369">AM653*2700</f>
        <v>1895400</v>
      </c>
      <c r="AP653" s="135"/>
      <c r="AQ653" s="102">
        <v>70771831911454</v>
      </c>
      <c r="AR653" s="102">
        <v>178144298000</v>
      </c>
      <c r="AS653" s="102">
        <v>24512170000</v>
      </c>
      <c r="AT653" s="104">
        <v>115101780000</v>
      </c>
      <c r="AU653" s="55">
        <f t="shared" si="339"/>
        <v>43633157</v>
      </c>
      <c r="AV653" s="99">
        <f t="shared" ref="AV653:AV657" si="370">AV652+AU653</f>
        <v>12317195413.6</v>
      </c>
      <c r="AX653" s="74">
        <f t="shared" ref="AX653:AX657" si="371">AT653/AQ653</f>
        <v>1.6263784176734227E-3</v>
      </c>
    </row>
    <row r="654" spans="1:50" ht="15">
      <c r="A654" s="28">
        <v>44634</v>
      </c>
      <c r="B654" s="56">
        <v>63856860000</v>
      </c>
      <c r="C654" s="56">
        <v>4568265000</v>
      </c>
      <c r="D654" s="56"/>
      <c r="E654" s="56"/>
      <c r="F654" s="65">
        <f t="shared" si="348"/>
        <v>68425125000</v>
      </c>
      <c r="G654" s="65">
        <f t="shared" si="362"/>
        <v>18474784</v>
      </c>
      <c r="H654" s="58">
        <f t="shared" si="363"/>
        <v>10380604000</v>
      </c>
      <c r="I654" s="57"/>
      <c r="J654" s="57">
        <v>10380604000</v>
      </c>
      <c r="K654" s="57"/>
      <c r="L654" s="58">
        <f t="shared" si="364"/>
        <v>15214122000</v>
      </c>
      <c r="M654" s="57"/>
      <c r="N654" s="57">
        <v>15214122000</v>
      </c>
      <c r="O654" s="58">
        <f t="shared" si="365"/>
        <v>519963000</v>
      </c>
      <c r="P654" s="57"/>
      <c r="Q654" s="57">
        <v>519963000</v>
      </c>
      <c r="R654" s="58">
        <f t="shared" si="366"/>
        <v>1352354000</v>
      </c>
      <c r="S654" s="57"/>
      <c r="T654" s="57">
        <v>1352354000</v>
      </c>
      <c r="U654" s="58">
        <f t="shared" si="367"/>
        <v>302651000</v>
      </c>
      <c r="V654" s="57"/>
      <c r="W654" s="57">
        <v>302651000</v>
      </c>
      <c r="X654" s="58">
        <f t="shared" si="368"/>
        <v>522079000</v>
      </c>
      <c r="Y654" s="121"/>
      <c r="Z654" s="57">
        <v>522079000</v>
      </c>
      <c r="AA654" s="121"/>
      <c r="AB654" s="121"/>
      <c r="AC654" s="121"/>
      <c r="AD654" s="121"/>
      <c r="AE654" s="121"/>
      <c r="AF654" s="121"/>
      <c r="AG654" s="121"/>
      <c r="AH654" s="121"/>
      <c r="AI654" s="121"/>
      <c r="AJ654" s="121">
        <f t="shared" si="293"/>
        <v>3055511</v>
      </c>
      <c r="AK654" s="59">
        <f>634200*0.3</f>
        <v>190260</v>
      </c>
      <c r="AL654" s="54">
        <v>44641</v>
      </c>
      <c r="AM654" s="60">
        <v>942</v>
      </c>
      <c r="AN654" s="34">
        <v>5449350</v>
      </c>
      <c r="AO654" s="125">
        <f t="shared" si="369"/>
        <v>2543400</v>
      </c>
      <c r="AP654" s="59"/>
      <c r="AQ654" s="100">
        <v>69006997555480</v>
      </c>
      <c r="AR654" s="100">
        <v>268627844000</v>
      </c>
      <c r="AS654" s="100">
        <v>29355173000</v>
      </c>
      <c r="AT654" s="103">
        <v>97780298000</v>
      </c>
      <c r="AU654" s="55">
        <f t="shared" si="339"/>
        <v>29713305</v>
      </c>
      <c r="AV654" s="99">
        <f t="shared" si="370"/>
        <v>12346908718.6</v>
      </c>
      <c r="AX654" s="74">
        <f t="shared" si="371"/>
        <v>1.4169620685407585E-3</v>
      </c>
    </row>
    <row r="655" spans="1:50" ht="15">
      <c r="A655" s="28">
        <v>44635</v>
      </c>
      <c r="B655" s="56">
        <v>94834985000</v>
      </c>
      <c r="C655" s="56"/>
      <c r="D655" s="56"/>
      <c r="E655" s="56"/>
      <c r="F655" s="65">
        <f t="shared" si="348"/>
        <v>94834985000</v>
      </c>
      <c r="G655" s="65">
        <f t="shared" si="362"/>
        <v>25605446</v>
      </c>
      <c r="H655" s="58">
        <f>J655-I655</f>
        <v>3198475000</v>
      </c>
      <c r="I655" s="57"/>
      <c r="J655" s="57">
        <v>3198475000</v>
      </c>
      <c r="K655" s="57"/>
      <c r="L655" s="58">
        <f>N655-M655</f>
        <v>25280524000</v>
      </c>
      <c r="M655" s="57">
        <f>33048000000</f>
        <v>33048000000</v>
      </c>
      <c r="N655" s="57">
        <v>58328524000</v>
      </c>
      <c r="O655" s="58">
        <f>Q655-P655</f>
        <v>190704000</v>
      </c>
      <c r="P655" s="57"/>
      <c r="Q655" s="57">
        <v>190704000</v>
      </c>
      <c r="R655" s="58">
        <f>T655-S655</f>
        <v>2499374000</v>
      </c>
      <c r="S655" s="57">
        <f>1926000000</f>
        <v>1926000000</v>
      </c>
      <c r="T655" s="57">
        <v>4425374000</v>
      </c>
      <c r="U655" s="58">
        <f>W655-V655</f>
        <v>454158000</v>
      </c>
      <c r="V655" s="57"/>
      <c r="W655" s="57">
        <v>454158000</v>
      </c>
      <c r="X655" s="58">
        <f>Z655-Y655</f>
        <v>546066000</v>
      </c>
      <c r="Y655" s="121"/>
      <c r="Z655" s="57">
        <v>546066000</v>
      </c>
      <c r="AA655" s="121"/>
      <c r="AB655" s="121"/>
      <c r="AC655" s="121"/>
      <c r="AD655" s="121"/>
      <c r="AE655" s="121"/>
      <c r="AF655" s="121"/>
      <c r="AG655" s="121"/>
      <c r="AH655" s="121"/>
      <c r="AI655" s="121"/>
      <c r="AJ655" s="121">
        <f t="shared" si="293"/>
        <v>9769605</v>
      </c>
      <c r="AK655" s="59">
        <f>1886600*0.3</f>
        <v>565980</v>
      </c>
      <c r="AL655" s="54">
        <v>44642</v>
      </c>
      <c r="AM655" s="60">
        <v>2645</v>
      </c>
      <c r="AN655" s="34">
        <v>5084700</v>
      </c>
      <c r="AO655" s="125">
        <f t="shared" si="369"/>
        <v>7141500</v>
      </c>
      <c r="AP655" s="59"/>
      <c r="AQ655" s="100">
        <v>53128849690092</v>
      </c>
      <c r="AR655" s="100">
        <v>350441996000</v>
      </c>
      <c r="AS655" s="100">
        <v>70802376000</v>
      </c>
      <c r="AT655" s="103">
        <v>165637361000</v>
      </c>
      <c r="AU655" s="55">
        <f t="shared" si="339"/>
        <v>48167231</v>
      </c>
      <c r="AV655" s="99">
        <f t="shared" si="370"/>
        <v>12395075949.6</v>
      </c>
      <c r="AX655" s="74">
        <f t="shared" si="371"/>
        <v>3.1176538164516239E-3</v>
      </c>
    </row>
    <row r="656" spans="1:50" ht="15">
      <c r="A656" s="28">
        <v>44636</v>
      </c>
      <c r="B656" s="56">
        <v>27942385000</v>
      </c>
      <c r="C656" s="56"/>
      <c r="D656" s="56"/>
      <c r="E656" s="56"/>
      <c r="F656" s="65">
        <f t="shared" si="348"/>
        <v>27942385000</v>
      </c>
      <c r="G656" s="65">
        <f>ROUND(F656*0.027%,0)</f>
        <v>7544444</v>
      </c>
      <c r="H656" s="58">
        <f>J656-I656</f>
        <v>9779659000</v>
      </c>
      <c r="I656" s="57"/>
      <c r="J656" s="57">
        <v>9779659000</v>
      </c>
      <c r="K656" s="57"/>
      <c r="L656" s="58">
        <f>N656-M656</f>
        <v>11872332000</v>
      </c>
      <c r="M656" s="57"/>
      <c r="N656" s="57">
        <v>11872332000</v>
      </c>
      <c r="O656" s="58">
        <f>Q656-P656</f>
        <v>11033000</v>
      </c>
      <c r="P656" s="57"/>
      <c r="Q656" s="57">
        <v>11033000</v>
      </c>
      <c r="R656" s="58">
        <f>T656-S656</f>
        <v>1018747000</v>
      </c>
      <c r="S656" s="57"/>
      <c r="T656" s="57">
        <v>1018747000</v>
      </c>
      <c r="U656" s="58">
        <f>W656-V656</f>
        <v>188218000</v>
      </c>
      <c r="V656" s="57"/>
      <c r="W656" s="57">
        <v>188218000</v>
      </c>
      <c r="X656" s="58">
        <f>Z656-Y656</f>
        <v>479500000</v>
      </c>
      <c r="Y656" s="121"/>
      <c r="Z656" s="57">
        <v>479500000</v>
      </c>
      <c r="AA656" s="121"/>
      <c r="AB656" s="121"/>
      <c r="AC656" s="121"/>
      <c r="AD656" s="121"/>
      <c r="AE656" s="121"/>
      <c r="AF656" s="121"/>
      <c r="AG656" s="121"/>
      <c r="AH656" s="121"/>
      <c r="AI656" s="121"/>
      <c r="AJ656" s="121">
        <f t="shared" si="293"/>
        <v>2521745</v>
      </c>
      <c r="AK656" s="59">
        <f>1357500*0.3</f>
        <v>407250</v>
      </c>
      <c r="AL656" s="54">
        <v>44643</v>
      </c>
      <c r="AM656" s="60">
        <v>586</v>
      </c>
      <c r="AN656" s="34">
        <v>4549200</v>
      </c>
      <c r="AO656" s="125">
        <f t="shared" si="369"/>
        <v>1582200</v>
      </c>
      <c r="AP656" s="59"/>
      <c r="AQ656" s="100">
        <v>45028043543892</v>
      </c>
      <c r="AR656" s="100">
        <v>123084622000</v>
      </c>
      <c r="AS656" s="100">
        <v>25216566000</v>
      </c>
      <c r="AT656" s="103">
        <v>53158951000</v>
      </c>
      <c r="AU656" s="55">
        <f t="shared" si="339"/>
        <v>16604839</v>
      </c>
      <c r="AV656" s="99">
        <f t="shared" si="370"/>
        <v>12411680788.6</v>
      </c>
      <c r="AX656" s="74">
        <f t="shared" si="371"/>
        <v>1.1805743002842714E-3</v>
      </c>
    </row>
    <row r="657" spans="1:50" ht="15">
      <c r="A657" s="28">
        <v>44637</v>
      </c>
      <c r="B657" s="118">
        <v>67479030000</v>
      </c>
      <c r="C657" s="118"/>
      <c r="D657" s="118"/>
      <c r="E657" s="118"/>
      <c r="F657" s="120">
        <f t="shared" si="348"/>
        <v>67479030000</v>
      </c>
      <c r="G657" s="120">
        <f t="shared" ref="G657:G660" si="372">ROUND(F657*0.027%,0)</f>
        <v>18219338</v>
      </c>
      <c r="H657" s="122">
        <f>J657-I657</f>
        <v>2749927000</v>
      </c>
      <c r="I657" s="121"/>
      <c r="J657" s="121">
        <v>2749927000</v>
      </c>
      <c r="K657" s="121"/>
      <c r="L657" s="122">
        <f>N657-M657</f>
        <v>2886552000</v>
      </c>
      <c r="M657" s="121"/>
      <c r="N657" s="121">
        <v>2886552000</v>
      </c>
      <c r="O657" s="122">
        <f>Q657-P657</f>
        <v>373220000</v>
      </c>
      <c r="P657" s="121"/>
      <c r="Q657" s="121">
        <v>373220000</v>
      </c>
      <c r="R657" s="122">
        <f>T657-S657</f>
        <v>881714000</v>
      </c>
      <c r="S657" s="121"/>
      <c r="T657" s="121">
        <v>881714000</v>
      </c>
      <c r="U657" s="122">
        <f>W657-V657</f>
        <v>272811000</v>
      </c>
      <c r="V657" s="121"/>
      <c r="W657" s="121">
        <v>272811000</v>
      </c>
      <c r="X657" s="122">
        <f>Z657-Y657</f>
        <v>486329000</v>
      </c>
      <c r="Y657" s="121"/>
      <c r="Z657" s="121">
        <v>486329000</v>
      </c>
      <c r="AA657" s="121"/>
      <c r="AB657" s="121"/>
      <c r="AC657" s="121"/>
      <c r="AD657" s="121"/>
      <c r="AE657" s="121"/>
      <c r="AF657" s="121"/>
      <c r="AG657" s="121"/>
      <c r="AH657" s="121"/>
      <c r="AI657" s="121"/>
      <c r="AJ657" s="121">
        <f t="shared" si="293"/>
        <v>826260</v>
      </c>
      <c r="AK657" s="124">
        <f>361700*0.3</f>
        <v>108510</v>
      </c>
      <c r="AL657" s="54">
        <v>44644</v>
      </c>
      <c r="AM657" s="125">
        <v>1376</v>
      </c>
      <c r="AN657" s="54">
        <v>6599400</v>
      </c>
      <c r="AO657" s="125">
        <f>AM657*2700</f>
        <v>3715200</v>
      </c>
      <c r="AP657" s="124"/>
      <c r="AQ657" s="101">
        <v>51519905712050</v>
      </c>
      <c r="AR657" s="100">
        <v>109282000000</v>
      </c>
      <c r="AS657" s="101">
        <v>8718316000</v>
      </c>
      <c r="AT657" s="105">
        <v>76197346000</v>
      </c>
      <c r="AU657" s="55">
        <f t="shared" si="339"/>
        <v>29468708</v>
      </c>
      <c r="AV657" s="99">
        <f t="shared" si="370"/>
        <v>12441149496.6</v>
      </c>
      <c r="AX657" s="74">
        <f t="shared" si="371"/>
        <v>1.4789884598367614E-3</v>
      </c>
    </row>
    <row r="658" spans="1:50" ht="15">
      <c r="A658" s="28">
        <v>44638</v>
      </c>
      <c r="B658" s="65">
        <v>72837535000</v>
      </c>
      <c r="C658" s="65"/>
      <c r="D658" s="65"/>
      <c r="E658" s="65"/>
      <c r="F658" s="65">
        <f t="shared" si="348"/>
        <v>72837535000</v>
      </c>
      <c r="G658" s="65">
        <f t="shared" si="372"/>
        <v>19666134</v>
      </c>
      <c r="H658" s="58">
        <f t="shared" ref="H658:H659" si="373">J658-I658</f>
        <v>7035714000</v>
      </c>
      <c r="I658" s="58"/>
      <c r="J658" s="58">
        <v>7035714000</v>
      </c>
      <c r="K658" s="58"/>
      <c r="L658" s="58">
        <f t="shared" ref="L658:L659" si="374">N658-M658</f>
        <v>992738000</v>
      </c>
      <c r="M658" s="58"/>
      <c r="N658" s="58">
        <v>992738000</v>
      </c>
      <c r="O658" s="58">
        <f t="shared" ref="O658:O659" si="375">Q658-P658</f>
        <v>44146000</v>
      </c>
      <c r="P658" s="58"/>
      <c r="Q658" s="58">
        <v>44146000</v>
      </c>
      <c r="R658" s="58">
        <f t="shared" ref="R658:R659" si="376">T658-S658</f>
        <v>777283000</v>
      </c>
      <c r="S658" s="58"/>
      <c r="T658" s="58">
        <v>777283000</v>
      </c>
      <c r="U658" s="58">
        <f t="shared" ref="U658:U659" si="377">W658-V658</f>
        <v>9203000</v>
      </c>
      <c r="V658" s="58"/>
      <c r="W658" s="58">
        <v>9203000</v>
      </c>
      <c r="X658" s="58">
        <f t="shared" ref="X658:X659" si="378">Z658-Y658</f>
        <v>505156000</v>
      </c>
      <c r="Y658" s="122"/>
      <c r="Z658" s="58">
        <v>505156000</v>
      </c>
      <c r="AA658" s="122"/>
      <c r="AB658" s="122"/>
      <c r="AC658" s="122"/>
      <c r="AD658" s="122"/>
      <c r="AE658" s="122"/>
      <c r="AF658" s="122"/>
      <c r="AG658" s="122"/>
      <c r="AH658" s="122"/>
      <c r="AI658" s="122"/>
      <c r="AJ658" s="121">
        <f t="shared" si="293"/>
        <v>1011338</v>
      </c>
      <c r="AK658" s="66">
        <f>1070500*0.3</f>
        <v>321150</v>
      </c>
      <c r="AL658" s="54">
        <v>44638</v>
      </c>
      <c r="AM658" s="116">
        <v>476</v>
      </c>
      <c r="AN658" s="42">
        <v>16065000</v>
      </c>
      <c r="AO658" s="125">
        <f t="shared" ref="AO658:AO661" si="379">AM658*2700</f>
        <v>1285200</v>
      </c>
      <c r="AP658" s="135"/>
      <c r="AQ658" s="102">
        <v>59770728005654</v>
      </c>
      <c r="AR658" s="102">
        <v>31389932000</v>
      </c>
      <c r="AS658" s="102">
        <v>10436823000</v>
      </c>
      <c r="AT658" s="104">
        <v>83274358000</v>
      </c>
      <c r="AU658" s="55">
        <f t="shared" si="339"/>
        <v>38348822</v>
      </c>
      <c r="AV658" s="99">
        <f t="shared" ref="AV658:AV662" si="380">AV657+AU658</f>
        <v>12479498318.6</v>
      </c>
      <c r="AX658" s="74">
        <f t="shared" ref="AX658:AX662" si="381">AT658/AQ658</f>
        <v>1.3932297761560255E-3</v>
      </c>
    </row>
    <row r="659" spans="1:50" ht="15">
      <c r="A659" s="28">
        <v>44641</v>
      </c>
      <c r="B659" s="56">
        <v>31589265000</v>
      </c>
      <c r="C659" s="56"/>
      <c r="D659" s="56"/>
      <c r="E659" s="56"/>
      <c r="F659" s="65">
        <f t="shared" si="348"/>
        <v>31589265000</v>
      </c>
      <c r="G659" s="65">
        <f t="shared" si="372"/>
        <v>8529102</v>
      </c>
      <c r="H659" s="58">
        <f t="shared" si="373"/>
        <v>3624593000</v>
      </c>
      <c r="I659" s="57">
        <v>26375250000</v>
      </c>
      <c r="J659" s="57">
        <v>29999843000</v>
      </c>
      <c r="K659" s="57"/>
      <c r="L659" s="58">
        <f t="shared" si="374"/>
        <v>247772000</v>
      </c>
      <c r="M659" s="57"/>
      <c r="N659" s="57">
        <v>247772000</v>
      </c>
      <c r="O659" s="58">
        <f t="shared" si="375"/>
        <v>121663000</v>
      </c>
      <c r="P659" s="57"/>
      <c r="Q659" s="57">
        <v>121663000</v>
      </c>
      <c r="R659" s="58">
        <f t="shared" si="376"/>
        <v>1005755000</v>
      </c>
      <c r="S659" s="57"/>
      <c r="T659" s="57">
        <v>1005755000</v>
      </c>
      <c r="U659" s="58">
        <f t="shared" si="377"/>
        <v>51521000</v>
      </c>
      <c r="V659" s="57"/>
      <c r="W659" s="57">
        <v>51521000</v>
      </c>
      <c r="X659" s="58">
        <f t="shared" si="378"/>
        <v>506713000</v>
      </c>
      <c r="Y659" s="121"/>
      <c r="Z659" s="57">
        <v>506713000</v>
      </c>
      <c r="AA659" s="121"/>
      <c r="AB659" s="121"/>
      <c r="AC659" s="121"/>
      <c r="AD659" s="121"/>
      <c r="AE659" s="121"/>
      <c r="AF659" s="121"/>
      <c r="AG659" s="121"/>
      <c r="AH659" s="121"/>
      <c r="AI659" s="121"/>
      <c r="AJ659" s="121">
        <f t="shared" si="293"/>
        <v>5347811</v>
      </c>
      <c r="AK659" s="59">
        <f>632900*0.3</f>
        <v>189870</v>
      </c>
      <c r="AL659" s="54">
        <v>44641</v>
      </c>
      <c r="AM659" s="60">
        <v>330</v>
      </c>
      <c r="AN659" s="34">
        <v>5298900</v>
      </c>
      <c r="AO659" s="125">
        <f t="shared" si="379"/>
        <v>891000</v>
      </c>
      <c r="AP659" s="59"/>
      <c r="AQ659" s="100">
        <v>59572676681536</v>
      </c>
      <c r="AR659" s="100">
        <v>88839108000</v>
      </c>
      <c r="AS659" s="100">
        <v>59383040000</v>
      </c>
      <c r="AT659" s="103">
        <v>90972305000</v>
      </c>
      <c r="AU659" s="55">
        <f t="shared" si="339"/>
        <v>20256683</v>
      </c>
      <c r="AV659" s="99">
        <f t="shared" si="380"/>
        <v>12499755001.6</v>
      </c>
      <c r="AX659" s="74">
        <f t="shared" si="381"/>
        <v>1.5270810389521414E-3</v>
      </c>
    </row>
    <row r="660" spans="1:50" ht="15">
      <c r="A660" s="28">
        <v>44642</v>
      </c>
      <c r="B660" s="56">
        <v>19713285000</v>
      </c>
      <c r="C660" s="56">
        <v>32508610000</v>
      </c>
      <c r="D660" s="56"/>
      <c r="E660" s="56"/>
      <c r="F660" s="65">
        <f t="shared" si="348"/>
        <v>52221895000</v>
      </c>
      <c r="G660" s="65">
        <f t="shared" si="372"/>
        <v>14099912</v>
      </c>
      <c r="H660" s="58">
        <f>J660-I660</f>
        <v>15169841000</v>
      </c>
      <c r="I660" s="57">
        <v>45615400000</v>
      </c>
      <c r="J660" s="57">
        <v>60785241000</v>
      </c>
      <c r="K660" s="57"/>
      <c r="L660" s="58">
        <f>N660-M660</f>
        <v>74602000</v>
      </c>
      <c r="M660" s="57"/>
      <c r="N660" s="57">
        <v>74602000</v>
      </c>
      <c r="O660" s="58">
        <f>Q660-P660</f>
        <v>892093000</v>
      </c>
      <c r="P660" s="57"/>
      <c r="Q660" s="57">
        <v>892093000</v>
      </c>
      <c r="R660" s="58">
        <f>T660-S660</f>
        <v>971549000</v>
      </c>
      <c r="S660" s="57"/>
      <c r="T660" s="57">
        <v>971549000</v>
      </c>
      <c r="U660" s="58">
        <f>W660-V660</f>
        <v>1861811000</v>
      </c>
      <c r="V660" s="57"/>
      <c r="W660" s="57">
        <v>1861811000</v>
      </c>
      <c r="X660" s="58">
        <f>Z660-Y660</f>
        <v>490462000</v>
      </c>
      <c r="Y660" s="121"/>
      <c r="Z660" s="57">
        <v>490462000</v>
      </c>
      <c r="AA660" s="121"/>
      <c r="AB660" s="121"/>
      <c r="AC660" s="121"/>
      <c r="AD660" s="121"/>
      <c r="AE660" s="121"/>
      <c r="AF660" s="121"/>
      <c r="AG660" s="121"/>
      <c r="AH660" s="121"/>
      <c r="AI660" s="121"/>
      <c r="AJ660" s="121">
        <f t="shared" si="293"/>
        <v>10312491</v>
      </c>
      <c r="AK660" s="59">
        <f>259740+144044</f>
        <v>403784</v>
      </c>
      <c r="AL660" s="54">
        <v>44642</v>
      </c>
      <c r="AM660" s="60">
        <v>626</v>
      </c>
      <c r="AN660" s="34">
        <v>3768900</v>
      </c>
      <c r="AO660" s="125">
        <f t="shared" si="379"/>
        <v>1690200</v>
      </c>
      <c r="AP660" s="59"/>
      <c r="AQ660" s="100">
        <v>69047546916738</v>
      </c>
      <c r="AR660" s="100">
        <v>297830800000</v>
      </c>
      <c r="AS660" s="100">
        <v>111813838000</v>
      </c>
      <c r="AT660" s="103">
        <v>164035733000</v>
      </c>
      <c r="AU660" s="55">
        <f t="shared" si="339"/>
        <v>30275287</v>
      </c>
      <c r="AV660" s="99">
        <f t="shared" si="380"/>
        <v>12530030288.6</v>
      </c>
      <c r="AX660" s="74">
        <f t="shared" si="381"/>
        <v>2.3756924079838043E-3</v>
      </c>
    </row>
    <row r="661" spans="1:50" ht="15">
      <c r="A661" s="28">
        <v>44643</v>
      </c>
      <c r="B661" s="56">
        <v>43005661000</v>
      </c>
      <c r="C661" s="56">
        <v>9032815000</v>
      </c>
      <c r="D661" s="56"/>
      <c r="E661" s="56"/>
      <c r="F661" s="65">
        <f t="shared" si="348"/>
        <v>52038476000</v>
      </c>
      <c r="G661" s="65">
        <f>ROUND(F661*0.027%,0)</f>
        <v>14050389</v>
      </c>
      <c r="H661" s="58">
        <f>J661-I661</f>
        <v>48159000</v>
      </c>
      <c r="I661" s="57">
        <v>50789000000</v>
      </c>
      <c r="J661" s="57">
        <v>50837159000</v>
      </c>
      <c r="K661" s="57"/>
      <c r="L661" s="58">
        <f>N661-M661</f>
        <v>28766917000</v>
      </c>
      <c r="M661" s="57">
        <v>172273000000</v>
      </c>
      <c r="N661" s="57">
        <v>201039917000</v>
      </c>
      <c r="O661" s="58">
        <f>Q661-P661</f>
        <v>183392000</v>
      </c>
      <c r="P661" s="57"/>
      <c r="Q661" s="57">
        <v>183392000</v>
      </c>
      <c r="R661" s="58">
        <f>T661-S661</f>
        <v>1253666000</v>
      </c>
      <c r="S661" s="57"/>
      <c r="T661" s="57">
        <v>1253666000</v>
      </c>
      <c r="U661" s="58">
        <f>W661-V661</f>
        <v>5566300000</v>
      </c>
      <c r="V661" s="57"/>
      <c r="W661" s="57">
        <v>5566300000</v>
      </c>
      <c r="X661" s="58">
        <f>Z661-Y661</f>
        <v>514635000</v>
      </c>
      <c r="Y661" s="121"/>
      <c r="Z661" s="57">
        <v>514635000</v>
      </c>
      <c r="AA661" s="121"/>
      <c r="AB661" s="121"/>
      <c r="AC661" s="121"/>
      <c r="AD661" s="121"/>
      <c r="AE661" s="121"/>
      <c r="AF661" s="121"/>
      <c r="AG661" s="121"/>
      <c r="AH661" s="121"/>
      <c r="AI661" s="121"/>
      <c r="AJ661" s="121">
        <f t="shared" si="293"/>
        <v>44075131</v>
      </c>
      <c r="AK661" s="59">
        <f>(578800*0.3)+300000</f>
        <v>473640</v>
      </c>
      <c r="AL661" s="54">
        <v>44643</v>
      </c>
      <c r="AM661" s="60">
        <v>640</v>
      </c>
      <c r="AN661" s="34">
        <v>4493100</v>
      </c>
      <c r="AO661" s="125">
        <f t="shared" si="379"/>
        <v>1728000</v>
      </c>
      <c r="AP661" s="59"/>
      <c r="AQ661" s="100">
        <v>68362585307842</v>
      </c>
      <c r="AR661" s="100">
        <v>1150268002000</v>
      </c>
      <c r="AS661" s="100">
        <v>483576890000</v>
      </c>
      <c r="AT661" s="103">
        <v>535615366000</v>
      </c>
      <c r="AU661" s="55">
        <f t="shared" si="339"/>
        <v>64820260</v>
      </c>
      <c r="AV661" s="99">
        <f t="shared" si="380"/>
        <v>12594850548.6</v>
      </c>
      <c r="AX661" s="74">
        <f t="shared" si="381"/>
        <v>7.8349196945680551E-3</v>
      </c>
    </row>
    <row r="662" spans="1:50" ht="15">
      <c r="A662" s="28">
        <v>44644</v>
      </c>
      <c r="B662" s="118">
        <v>37149805000</v>
      </c>
      <c r="C662" s="118">
        <v>50008525000</v>
      </c>
      <c r="D662" s="118"/>
      <c r="E662" s="118"/>
      <c r="F662" s="120">
        <f t="shared" si="348"/>
        <v>87158330000</v>
      </c>
      <c r="G662" s="120">
        <f t="shared" ref="G662" si="382">ROUND(F662*0.027%,0)</f>
        <v>23532749</v>
      </c>
      <c r="H662" s="122">
        <f>J662-I662</f>
        <v>0</v>
      </c>
      <c r="I662" s="121">
        <v>5049200000</v>
      </c>
      <c r="J662" s="121">
        <v>5049200000</v>
      </c>
      <c r="K662" s="121"/>
      <c r="L662" s="122">
        <f>N662-M662</f>
        <v>7785617000</v>
      </c>
      <c r="M662" s="121">
        <v>28637000000</v>
      </c>
      <c r="N662" s="121">
        <v>36422617000</v>
      </c>
      <c r="O662" s="122">
        <f>Q662-P662</f>
        <v>1041946000</v>
      </c>
      <c r="P662" s="121"/>
      <c r="Q662" s="121">
        <v>1041946000</v>
      </c>
      <c r="R662" s="122">
        <f>T662-S662</f>
        <v>946644000</v>
      </c>
      <c r="S662" s="121"/>
      <c r="T662" s="121">
        <v>946644000</v>
      </c>
      <c r="U662" s="122">
        <f>W662-V662</f>
        <v>760092000</v>
      </c>
      <c r="V662" s="121"/>
      <c r="W662" s="121">
        <v>760092000</v>
      </c>
      <c r="X662" s="122">
        <f>Z662-Y662</f>
        <v>495337000</v>
      </c>
      <c r="Y662" s="121"/>
      <c r="Z662" s="121">
        <v>495337000</v>
      </c>
      <c r="AA662" s="121"/>
      <c r="AB662" s="121"/>
      <c r="AC662" s="121"/>
      <c r="AD662" s="121"/>
      <c r="AE662" s="121"/>
      <c r="AF662" s="121"/>
      <c r="AG662" s="121"/>
      <c r="AH662" s="121"/>
      <c r="AI662" s="121"/>
      <c r="AJ662" s="121">
        <f t="shared" si="293"/>
        <v>7254717</v>
      </c>
      <c r="AK662" s="124">
        <f>(174400*0.3)+300000</f>
        <v>352320</v>
      </c>
      <c r="AL662" s="54">
        <v>44644</v>
      </c>
      <c r="AM662" s="125">
        <v>424</v>
      </c>
      <c r="AN662" s="54">
        <v>5089800</v>
      </c>
      <c r="AO662" s="125">
        <f>AM662*2700</f>
        <v>1144800</v>
      </c>
      <c r="AP662" s="124"/>
      <c r="AQ662" s="101">
        <v>61612832750592</v>
      </c>
      <c r="AR662" s="100">
        <v>147666172000</v>
      </c>
      <c r="AS662" s="101">
        <v>79490356000</v>
      </c>
      <c r="AT662" s="105">
        <v>166648686000</v>
      </c>
      <c r="AU662" s="55">
        <f t="shared" si="339"/>
        <v>37374386</v>
      </c>
      <c r="AV662" s="99">
        <f t="shared" si="380"/>
        <v>12632224934.6</v>
      </c>
      <c r="AX662" s="74">
        <f t="shared" si="381"/>
        <v>2.7047723430375595E-3</v>
      </c>
    </row>
    <row r="663" spans="1:50" ht="15">
      <c r="A663" s="28">
        <v>44645</v>
      </c>
      <c r="B663" s="65">
        <v>66860310800</v>
      </c>
      <c r="C663" s="65">
        <v>58668775000</v>
      </c>
      <c r="D663" s="65"/>
      <c r="E663" s="65"/>
      <c r="F663" s="65">
        <f t="shared" si="348"/>
        <v>125529085800</v>
      </c>
      <c r="G663" s="65">
        <f t="shared" ref="G663:G665" si="383">ROUND(F663*0.027%,0)</f>
        <v>33892853</v>
      </c>
      <c r="H663" s="58">
        <f t="shared" ref="H663:H664" si="384">J663-I663</f>
        <v>0</v>
      </c>
      <c r="I663" s="58"/>
      <c r="J663" s="58"/>
      <c r="K663" s="58"/>
      <c r="L663" s="58">
        <f t="shared" ref="L663:L664" si="385">N663-M663</f>
        <v>825767000</v>
      </c>
      <c r="M663" s="58">
        <v>155090000000</v>
      </c>
      <c r="N663" s="58">
        <v>155915767000</v>
      </c>
      <c r="O663" s="58">
        <f t="shared" ref="O663:O664" si="386">Q663-P663</f>
        <v>1050815000</v>
      </c>
      <c r="P663" s="58"/>
      <c r="Q663" s="58">
        <v>1050815000</v>
      </c>
      <c r="R663" s="58">
        <f t="shared" ref="R663:R664" si="387">T663-S663</f>
        <v>623710000</v>
      </c>
      <c r="S663" s="58"/>
      <c r="T663" s="58">
        <v>623710000</v>
      </c>
      <c r="U663" s="58">
        <f t="shared" ref="U663:U664" si="388">W663-V663</f>
        <v>18570000</v>
      </c>
      <c r="V663" s="58"/>
      <c r="W663" s="58">
        <v>18570000</v>
      </c>
      <c r="X663" s="58">
        <f t="shared" ref="X663:X664" si="389">Z663-Y663</f>
        <v>513939000</v>
      </c>
      <c r="Y663" s="122"/>
      <c r="Z663" s="58">
        <v>513939000</v>
      </c>
      <c r="AA663" s="122"/>
      <c r="AB663" s="122"/>
      <c r="AC663" s="122"/>
      <c r="AD663" s="122"/>
      <c r="AE663" s="122"/>
      <c r="AF663" s="122"/>
      <c r="AG663" s="122"/>
      <c r="AH663" s="122"/>
      <c r="AI663" s="122"/>
      <c r="AJ663" s="121">
        <f t="shared" si="293"/>
        <v>28243743</v>
      </c>
      <c r="AK663" s="66">
        <f>(426600*0.3)+300000</f>
        <v>427980</v>
      </c>
      <c r="AL663" s="54">
        <v>44645</v>
      </c>
      <c r="AM663" s="116">
        <v>598</v>
      </c>
      <c r="AN663" s="42">
        <v>12240000</v>
      </c>
      <c r="AO663" s="125">
        <f t="shared" ref="AO663:AO666" si="390">AM663*2700</f>
        <v>1614600</v>
      </c>
      <c r="AP663" s="135"/>
      <c r="AQ663" s="102">
        <v>61064668883570</v>
      </c>
      <c r="AR663" s="102">
        <v>526401378000</v>
      </c>
      <c r="AS663" s="102">
        <v>317359643000</v>
      </c>
      <c r="AT663" s="104">
        <v>442888728800</v>
      </c>
      <c r="AU663" s="55">
        <f t="shared" si="339"/>
        <v>76419176</v>
      </c>
      <c r="AV663" s="99">
        <f t="shared" ref="AV663:AV667" si="391">AV662+AU663</f>
        <v>12708644110.6</v>
      </c>
      <c r="AX663" s="74">
        <f t="shared" ref="AX663:AX667" si="392">AT663/AQ663</f>
        <v>7.2527819588187959E-3</v>
      </c>
    </row>
    <row r="664" spans="1:50" ht="15">
      <c r="A664" s="28">
        <v>44648</v>
      </c>
      <c r="B664" s="56">
        <v>67355390000</v>
      </c>
      <c r="C664" s="56">
        <v>19754240000</v>
      </c>
      <c r="D664" s="56"/>
      <c r="E664" s="56"/>
      <c r="F664" s="65">
        <f t="shared" si="348"/>
        <v>87109630000</v>
      </c>
      <c r="G664" s="65">
        <f t="shared" si="383"/>
        <v>23519600</v>
      </c>
      <c r="H664" s="58">
        <f t="shared" si="384"/>
        <v>4427498000</v>
      </c>
      <c r="I664" s="57"/>
      <c r="J664" s="57">
        <v>4427498000</v>
      </c>
      <c r="K664" s="57"/>
      <c r="L664" s="58">
        <f t="shared" si="385"/>
        <v>0</v>
      </c>
      <c r="M664" s="57"/>
      <c r="N664" s="57"/>
      <c r="O664" s="58">
        <f t="shared" si="386"/>
        <v>1827915000</v>
      </c>
      <c r="P664" s="57"/>
      <c r="Q664" s="57">
        <v>1827915000</v>
      </c>
      <c r="R664" s="58">
        <f t="shared" si="387"/>
        <v>1179986000</v>
      </c>
      <c r="S664" s="57"/>
      <c r="T664" s="57">
        <v>1179986000</v>
      </c>
      <c r="U664" s="58">
        <f t="shared" si="388"/>
        <v>157667000</v>
      </c>
      <c r="V664" s="57"/>
      <c r="W664" s="57">
        <v>157667000</v>
      </c>
      <c r="X664" s="58">
        <f t="shared" si="389"/>
        <v>531349000</v>
      </c>
      <c r="Y664" s="121"/>
      <c r="Z664" s="57">
        <v>531349000</v>
      </c>
      <c r="AA664" s="121"/>
      <c r="AB664" s="121"/>
      <c r="AC664" s="121"/>
      <c r="AD664" s="121"/>
      <c r="AE664" s="121"/>
      <c r="AF664" s="121"/>
      <c r="AG664" s="121"/>
      <c r="AH664" s="121"/>
      <c r="AI664" s="121"/>
      <c r="AJ664" s="121">
        <v>877434</v>
      </c>
      <c r="AK664" s="59">
        <f>689500*0.3</f>
        <v>206850</v>
      </c>
      <c r="AL664" s="54">
        <v>44648</v>
      </c>
      <c r="AM664" s="60">
        <v>575</v>
      </c>
      <c r="AN664" s="34">
        <v>3939750</v>
      </c>
      <c r="AO664" s="125">
        <f t="shared" si="390"/>
        <v>1552500</v>
      </c>
      <c r="AP664" s="59"/>
      <c r="AQ664" s="100">
        <v>80045515195746</v>
      </c>
      <c r="AR664" s="100">
        <v>101813380000</v>
      </c>
      <c r="AS664" s="100">
        <v>9243161000</v>
      </c>
      <c r="AT664" s="103">
        <v>96352791000</v>
      </c>
      <c r="AU664" s="55">
        <f t="shared" si="339"/>
        <v>30096134</v>
      </c>
      <c r="AV664" s="99">
        <f t="shared" si="391"/>
        <v>12738740244.6</v>
      </c>
      <c r="AX664" s="74">
        <f t="shared" si="392"/>
        <v>1.203725040239614E-3</v>
      </c>
    </row>
    <row r="665" spans="1:50" ht="15">
      <c r="A665" s="28">
        <v>44649</v>
      </c>
      <c r="B665" s="56">
        <v>3226475000</v>
      </c>
      <c r="C665" s="56"/>
      <c r="D665" s="56"/>
      <c r="E665" s="56"/>
      <c r="F665" s="65">
        <f t="shared" si="348"/>
        <v>3226475000</v>
      </c>
      <c r="G665" s="65">
        <f t="shared" si="383"/>
        <v>871148</v>
      </c>
      <c r="H665" s="58">
        <f>J665-I665</f>
        <v>143268000</v>
      </c>
      <c r="I665" s="57"/>
      <c r="J665" s="57">
        <v>143268000</v>
      </c>
      <c r="K665" s="57"/>
      <c r="L665" s="58">
        <f>N665-M665</f>
        <v>35342908000</v>
      </c>
      <c r="M665" s="57"/>
      <c r="N665" s="57">
        <v>35342908000</v>
      </c>
      <c r="O665" s="58">
        <f>Q665-P665</f>
        <v>2008276000</v>
      </c>
      <c r="P665" s="57"/>
      <c r="Q665" s="57">
        <v>2008276000</v>
      </c>
      <c r="R665" s="58">
        <f>T665-S665</f>
        <v>832060000</v>
      </c>
      <c r="S665" s="57"/>
      <c r="T665" s="57">
        <v>832060000</v>
      </c>
      <c r="U665" s="58">
        <f>W665-V665</f>
        <v>4368454000</v>
      </c>
      <c r="V665" s="57"/>
      <c r="W665" s="57">
        <v>4368454000</v>
      </c>
      <c r="X665" s="58">
        <f>Z665-Y665</f>
        <v>602300000</v>
      </c>
      <c r="Y665" s="121"/>
      <c r="Z665" s="57">
        <v>602300000</v>
      </c>
      <c r="AA665" s="121"/>
      <c r="AB665" s="121"/>
      <c r="AC665" s="121"/>
      <c r="AD665" s="121"/>
      <c r="AE665" s="121"/>
      <c r="AF665" s="121"/>
      <c r="AG665" s="121"/>
      <c r="AH665" s="121"/>
      <c r="AI665" s="121"/>
      <c r="AJ665" s="121">
        <f t="shared" ref="AJ665:AJ681" si="393">ROUND(H665*0.0108%+I665*0.018%+K665*0.018%+L665*0.0108%+M665*0.018%+O665*0.0108%+P665*0.018%+R665*0.0108%+S665*0.018%+V665*0.018%+U665*0.0108%+X665*0.0108%+Y665*0.018%,0)</f>
        <v>4676105</v>
      </c>
      <c r="AK665" s="59">
        <f>1395300*0.3</f>
        <v>418590</v>
      </c>
      <c r="AL665" s="54">
        <v>44649</v>
      </c>
      <c r="AM665" s="60">
        <v>292</v>
      </c>
      <c r="AN665" s="34">
        <v>3358350</v>
      </c>
      <c r="AO665" s="125">
        <f t="shared" si="390"/>
        <v>788400</v>
      </c>
      <c r="AP665" s="59">
        <v>1600000</v>
      </c>
      <c r="AQ665" s="100">
        <v>59115307395470</v>
      </c>
      <c r="AR665" s="100">
        <v>205482210000</v>
      </c>
      <c r="AS665" s="100">
        <v>44990081000</v>
      </c>
      <c r="AT665" s="103">
        <v>48216556000</v>
      </c>
      <c r="AU665" s="55">
        <f t="shared" si="339"/>
        <v>11712593</v>
      </c>
      <c r="AV665" s="99">
        <f t="shared" si="391"/>
        <v>12750452837.6</v>
      </c>
      <c r="AX665" s="74">
        <f t="shared" si="392"/>
        <v>8.1563571474712194E-4</v>
      </c>
    </row>
    <row r="666" spans="1:50" ht="15">
      <c r="A666" s="28">
        <v>44650</v>
      </c>
      <c r="B666" s="56">
        <v>81203870000</v>
      </c>
      <c r="C666" s="56">
        <v>9280340000</v>
      </c>
      <c r="D666" s="56"/>
      <c r="E666" s="56"/>
      <c r="F666" s="65">
        <f t="shared" si="348"/>
        <v>90484210000</v>
      </c>
      <c r="G666" s="65">
        <f>ROUND(F666*0.027%,0)</f>
        <v>24430737</v>
      </c>
      <c r="H666" s="58">
        <f>J666-I666</f>
        <v>12950800000</v>
      </c>
      <c r="I666" s="57">
        <v>10090000000</v>
      </c>
      <c r="J666" s="57">
        <v>23040800000</v>
      </c>
      <c r="K666" s="57"/>
      <c r="L666" s="58">
        <f>N666-M666</f>
        <v>4530659000</v>
      </c>
      <c r="M666" s="57"/>
      <c r="N666" s="57">
        <v>4530659000</v>
      </c>
      <c r="O666" s="58">
        <f>Q666-P666</f>
        <v>350586000</v>
      </c>
      <c r="P666" s="57"/>
      <c r="Q666" s="57">
        <v>350586000</v>
      </c>
      <c r="R666" s="58">
        <f>T666-S666</f>
        <v>1014179000</v>
      </c>
      <c r="S666" s="57"/>
      <c r="T666" s="57">
        <v>1014179000</v>
      </c>
      <c r="U666" s="58">
        <f>W666-V666</f>
        <v>3668720000</v>
      </c>
      <c r="V666" s="57"/>
      <c r="W666" s="57">
        <v>3668720000</v>
      </c>
      <c r="X666" s="58">
        <f>Z666-Y666</f>
        <v>496770000</v>
      </c>
      <c r="Y666" s="121"/>
      <c r="Z666" s="57">
        <v>496770000</v>
      </c>
      <c r="AA666" s="121"/>
      <c r="AB666" s="121"/>
      <c r="AC666" s="121"/>
      <c r="AD666" s="121"/>
      <c r="AE666" s="121"/>
      <c r="AF666" s="121"/>
      <c r="AG666" s="121"/>
      <c r="AH666" s="121"/>
      <c r="AI666" s="121"/>
      <c r="AJ666" s="121">
        <f t="shared" si="393"/>
        <v>4301465</v>
      </c>
      <c r="AK666" s="59">
        <f>1785400*0.3</f>
        <v>535620</v>
      </c>
      <c r="AL666" s="54">
        <v>44650</v>
      </c>
      <c r="AM666" s="60">
        <v>635</v>
      </c>
      <c r="AN666" s="34">
        <v>2779500</v>
      </c>
      <c r="AO666" s="125">
        <f t="shared" si="390"/>
        <v>1714500</v>
      </c>
      <c r="AP666" s="59">
        <v>9033394</v>
      </c>
      <c r="AQ666" s="100">
        <v>71293187637932</v>
      </c>
      <c r="AR666" s="100">
        <v>299429760000</v>
      </c>
      <c r="AS666" s="100">
        <v>44446370000</v>
      </c>
      <c r="AT666" s="103">
        <v>134930580000</v>
      </c>
      <c r="AU666" s="55">
        <f t="shared" si="339"/>
        <v>42795216</v>
      </c>
      <c r="AV666" s="99">
        <f t="shared" si="391"/>
        <v>12793248053.6</v>
      </c>
      <c r="AX666" s="74">
        <f t="shared" si="392"/>
        <v>1.8926153321304057E-3</v>
      </c>
    </row>
    <row r="667" spans="1:50" ht="15">
      <c r="A667" s="28">
        <v>44651</v>
      </c>
      <c r="B667" s="118">
        <v>55399050000</v>
      </c>
      <c r="C667" s="118">
        <v>23473235000</v>
      </c>
      <c r="D667" s="118"/>
      <c r="E667" s="118"/>
      <c r="F667" s="120">
        <f t="shared" si="348"/>
        <v>78872285000</v>
      </c>
      <c r="G667" s="120">
        <f t="shared" ref="G667:G670" si="394">ROUND(F667*0.027%,0)</f>
        <v>21295517</v>
      </c>
      <c r="H667" s="122">
        <f>J667-I667</f>
        <v>9221220000</v>
      </c>
      <c r="I667" s="121">
        <v>27355800000</v>
      </c>
      <c r="J667" s="121">
        <v>36577020000</v>
      </c>
      <c r="K667" s="121"/>
      <c r="L667" s="122">
        <f>N667-M667</f>
        <v>1343041000</v>
      </c>
      <c r="M667" s="121">
        <v>26947300000</v>
      </c>
      <c r="N667" s="121">
        <v>28290341000</v>
      </c>
      <c r="O667" s="122">
        <f>Q667-P667</f>
        <v>3225563000</v>
      </c>
      <c r="P667" s="121"/>
      <c r="Q667" s="121">
        <v>3225563000</v>
      </c>
      <c r="R667" s="122">
        <f>T667-S667</f>
        <v>671913000</v>
      </c>
      <c r="S667" s="121"/>
      <c r="T667" s="121">
        <v>671913000</v>
      </c>
      <c r="U667" s="122">
        <f>W667-V667</f>
        <v>1467580000</v>
      </c>
      <c r="V667" s="121"/>
      <c r="W667" s="121">
        <v>1467580000</v>
      </c>
      <c r="X667" s="122">
        <f>Z667-Y667</f>
        <v>753858000</v>
      </c>
      <c r="Y667" s="121"/>
      <c r="Z667" s="121">
        <v>753858000</v>
      </c>
      <c r="AA667" s="121"/>
      <c r="AB667" s="121"/>
      <c r="AC667" s="121"/>
      <c r="AD667" s="121"/>
      <c r="AE667" s="121"/>
      <c r="AF667" s="121"/>
      <c r="AG667" s="121"/>
      <c r="AH667" s="121"/>
      <c r="AI667" s="121"/>
      <c r="AJ667" s="121">
        <f t="shared" si="393"/>
        <v>11576341</v>
      </c>
      <c r="AK667" s="124">
        <f>2299400*0.3</f>
        <v>689820</v>
      </c>
      <c r="AL667" s="54">
        <v>44651</v>
      </c>
      <c r="AM667" s="125">
        <v>298</v>
      </c>
      <c r="AN667" s="54">
        <v>2070600</v>
      </c>
      <c r="AO667" s="125">
        <f>AM667*2700</f>
        <v>804600</v>
      </c>
      <c r="AP667" s="124">
        <v>38454190</v>
      </c>
      <c r="AQ667" s="101">
        <v>58879666642972</v>
      </c>
      <c r="AR667" s="100">
        <v>241552672000</v>
      </c>
      <c r="AS667" s="101">
        <v>141579040000</v>
      </c>
      <c r="AT667" s="105">
        <v>220451325000</v>
      </c>
      <c r="AU667" s="55">
        <f t="shared" si="339"/>
        <v>74891068</v>
      </c>
      <c r="AV667" s="99">
        <f t="shared" si="391"/>
        <v>12868139121.6</v>
      </c>
      <c r="AX667" s="74">
        <f t="shared" si="392"/>
        <v>3.7440994076401338E-3</v>
      </c>
    </row>
    <row r="668" spans="1:50" ht="15">
      <c r="A668" s="28">
        <v>44652</v>
      </c>
      <c r="B668" s="65">
        <v>10760925000</v>
      </c>
      <c r="C668" s="65">
        <v>24282150000</v>
      </c>
      <c r="D668" s="65"/>
      <c r="E668" s="65"/>
      <c r="F668" s="65">
        <f t="shared" ref="F668:F687" si="395">SUM(B668:E668)</f>
        <v>35043075000</v>
      </c>
      <c r="G668" s="65">
        <f t="shared" si="394"/>
        <v>9461630</v>
      </c>
      <c r="H668" s="58">
        <f t="shared" ref="H668:H669" si="396">J668-I668</f>
        <v>1959574000</v>
      </c>
      <c r="I668" s="58">
        <v>200240750000</v>
      </c>
      <c r="J668" s="58">
        <v>202200324000</v>
      </c>
      <c r="K668" s="58"/>
      <c r="L668" s="58">
        <f t="shared" ref="L668:L669" si="397">N668-M668</f>
        <v>33992989000</v>
      </c>
      <c r="M668" s="58">
        <v>11356300000</v>
      </c>
      <c r="N668" s="58">
        <v>45349289000</v>
      </c>
      <c r="O668" s="58">
        <f t="shared" ref="O668:O669" si="398">Q668-P668</f>
        <v>2507463000</v>
      </c>
      <c r="P668" s="58"/>
      <c r="Q668" s="58">
        <v>2507463000</v>
      </c>
      <c r="R668" s="58">
        <f t="shared" ref="R668:R669" si="399">T668-S668</f>
        <v>2014350000</v>
      </c>
      <c r="S668" s="58"/>
      <c r="T668" s="58">
        <v>2014350000</v>
      </c>
      <c r="U668" s="58">
        <f t="shared" ref="U668:U669" si="400">W668-V668</f>
        <v>126216000</v>
      </c>
      <c r="V668" s="58"/>
      <c r="W668" s="58">
        <v>126216000</v>
      </c>
      <c r="X668" s="58">
        <f t="shared" ref="X668:X669" si="401">Z668-Y668</f>
        <v>744323000</v>
      </c>
      <c r="Y668" s="122"/>
      <c r="Z668" s="58">
        <v>744323000</v>
      </c>
      <c r="AA668" s="122"/>
      <c r="AB668" s="122"/>
      <c r="AC668" s="122"/>
      <c r="AD668" s="122"/>
      <c r="AE668" s="122"/>
      <c r="AF668" s="122"/>
      <c r="AG668" s="122"/>
      <c r="AH668" s="122"/>
      <c r="AI668" s="122"/>
      <c r="AJ668" s="121">
        <f t="shared" si="393"/>
        <v>42552720</v>
      </c>
      <c r="AK668" s="66">
        <f>344000*0.3+300000</f>
        <v>403200</v>
      </c>
      <c r="AL668" s="54">
        <v>44652</v>
      </c>
      <c r="AM668" s="116">
        <v>657</v>
      </c>
      <c r="AN668" s="42">
        <v>10840050</v>
      </c>
      <c r="AO668" s="125">
        <f t="shared" ref="AO668:AO671" si="402">AM668*2700</f>
        <v>1773900</v>
      </c>
      <c r="AP668" s="135"/>
      <c r="AQ668" s="102">
        <v>64955198968834</v>
      </c>
      <c r="AR668" s="102">
        <v>814079896000</v>
      </c>
      <c r="AS668" s="102">
        <v>475968061000</v>
      </c>
      <c r="AT668" s="104">
        <v>511011136000</v>
      </c>
      <c r="AU668" s="55">
        <f t="shared" si="339"/>
        <v>65031500</v>
      </c>
      <c r="AV668" s="99">
        <f t="shared" ref="AV668:AV672" si="403">AV667+AU668</f>
        <v>12933170621.6</v>
      </c>
    </row>
    <row r="669" spans="1:50" ht="15">
      <c r="A669" s="28">
        <v>44655</v>
      </c>
      <c r="B669" s="56">
        <v>139506145000</v>
      </c>
      <c r="C669" s="56">
        <v>19502615000</v>
      </c>
      <c r="D669" s="56">
        <v>6379845000</v>
      </c>
      <c r="E669" s="56"/>
      <c r="F669" s="65">
        <f t="shared" si="395"/>
        <v>165388605000</v>
      </c>
      <c r="G669" s="65">
        <f t="shared" si="394"/>
        <v>44654923</v>
      </c>
      <c r="H669" s="58">
        <f t="shared" si="396"/>
        <v>8868220000</v>
      </c>
      <c r="I669" s="57">
        <v>156077500000</v>
      </c>
      <c r="J669" s="57">
        <v>164945720000</v>
      </c>
      <c r="K669" s="57"/>
      <c r="L669" s="58">
        <f t="shared" si="397"/>
        <v>36926121000</v>
      </c>
      <c r="M669" s="57">
        <v>64879700000</v>
      </c>
      <c r="N669" s="57">
        <v>101805821000</v>
      </c>
      <c r="O669" s="58">
        <f t="shared" si="398"/>
        <v>394638000</v>
      </c>
      <c r="P669" s="57"/>
      <c r="Q669" s="57">
        <v>394638000</v>
      </c>
      <c r="R669" s="58">
        <f t="shared" si="399"/>
        <v>1267669000</v>
      </c>
      <c r="S669" s="57"/>
      <c r="T669" s="57">
        <v>1267669000</v>
      </c>
      <c r="U669" s="58">
        <f t="shared" si="400"/>
        <v>157401000</v>
      </c>
      <c r="V669" s="57"/>
      <c r="W669" s="57">
        <v>157401000</v>
      </c>
      <c r="X669" s="58">
        <f t="shared" si="401"/>
        <v>558936000</v>
      </c>
      <c r="Y669" s="121"/>
      <c r="Z669" s="57">
        <v>558936000</v>
      </c>
      <c r="AA669" s="121"/>
      <c r="AB669" s="121"/>
      <c r="AC669" s="121"/>
      <c r="AD669" s="121"/>
      <c r="AE669" s="121"/>
      <c r="AF669" s="121"/>
      <c r="AG669" s="121"/>
      <c r="AH669" s="121"/>
      <c r="AI669" s="121"/>
      <c r="AJ669" s="121">
        <f t="shared" si="393"/>
        <v>44974978</v>
      </c>
      <c r="AK669" s="59">
        <f>2760100*0.3+300000</f>
        <v>1128030</v>
      </c>
      <c r="AL669" s="54">
        <v>44655</v>
      </c>
      <c r="AM669" s="60">
        <v>428</v>
      </c>
      <c r="AN669" s="34">
        <v>3649050</v>
      </c>
      <c r="AO669" s="125">
        <f t="shared" si="402"/>
        <v>1155600</v>
      </c>
      <c r="AP669" s="59"/>
      <c r="AQ669" s="100">
        <v>63527131926628</v>
      </c>
      <c r="AR669" s="100">
        <v>977901755000</v>
      </c>
      <c r="AS669" s="100">
        <v>491266901000</v>
      </c>
      <c r="AT669" s="103">
        <v>656655506000</v>
      </c>
      <c r="AU669" s="55">
        <f t="shared" si="339"/>
        <v>95562581</v>
      </c>
      <c r="AV669" s="99">
        <f t="shared" si="403"/>
        <v>13028733202.6</v>
      </c>
    </row>
    <row r="670" spans="1:50" ht="15">
      <c r="A670" s="28">
        <v>44656</v>
      </c>
      <c r="B670" s="56">
        <v>50485545000</v>
      </c>
      <c r="C670" s="56">
        <v>56952730000</v>
      </c>
      <c r="D670" s="56"/>
      <c r="E670" s="56"/>
      <c r="F670" s="65">
        <f t="shared" si="395"/>
        <v>107438275000</v>
      </c>
      <c r="G670" s="65">
        <f t="shared" si="394"/>
        <v>29008334</v>
      </c>
      <c r="H670" s="58">
        <f>J670-I670</f>
        <v>7742000</v>
      </c>
      <c r="I670" s="57">
        <v>36180000000</v>
      </c>
      <c r="J670" s="57">
        <v>36187742000</v>
      </c>
      <c r="K670" s="57"/>
      <c r="L670" s="58">
        <f>N670-M670</f>
        <v>3107673000</v>
      </c>
      <c r="M670" s="57">
        <v>46205900000</v>
      </c>
      <c r="N670" s="57">
        <v>49313573000</v>
      </c>
      <c r="O670" s="58">
        <f>Q670-P670</f>
        <v>134275000</v>
      </c>
      <c r="P670" s="57"/>
      <c r="Q670" s="57">
        <v>134275000</v>
      </c>
      <c r="R670" s="58">
        <f>T670-S670</f>
        <v>1394424000</v>
      </c>
      <c r="S670" s="57"/>
      <c r="T670" s="57">
        <v>1394424000</v>
      </c>
      <c r="U670" s="58">
        <f>W670-V670</f>
        <v>582161000</v>
      </c>
      <c r="V670" s="57"/>
      <c r="W670" s="57">
        <v>582161000</v>
      </c>
      <c r="X670" s="58">
        <f>Z670-Y670</f>
        <v>509490000</v>
      </c>
      <c r="Y670" s="121"/>
      <c r="Z670" s="57">
        <v>509490000</v>
      </c>
      <c r="AA670" s="121"/>
      <c r="AB670" s="121"/>
      <c r="AC670" s="121"/>
      <c r="AD670" s="121"/>
      <c r="AE670" s="121"/>
      <c r="AF670" s="121"/>
      <c r="AG670" s="121"/>
      <c r="AH670" s="121"/>
      <c r="AI670" s="121"/>
      <c r="AJ670" s="121">
        <f t="shared" si="393"/>
        <v>15448925</v>
      </c>
      <c r="AK670" s="59">
        <f>839700*0.3+300000</f>
        <v>551910</v>
      </c>
      <c r="AL670" s="54">
        <v>44656</v>
      </c>
      <c r="AM670" s="60">
        <v>181</v>
      </c>
      <c r="AN670" s="34">
        <v>3381300</v>
      </c>
      <c r="AO670" s="125">
        <f t="shared" si="402"/>
        <v>488700</v>
      </c>
      <c r="AP670" s="59"/>
      <c r="AQ670" s="100">
        <v>55304170357928</v>
      </c>
      <c r="AR670" s="100">
        <v>389000860000</v>
      </c>
      <c r="AS670" s="100">
        <v>171616365000</v>
      </c>
      <c r="AT670" s="103">
        <v>279054640000</v>
      </c>
      <c r="AU670" s="55">
        <f t="shared" si="339"/>
        <v>48879169</v>
      </c>
      <c r="AV670" s="99">
        <f t="shared" si="403"/>
        <v>13077612371.6</v>
      </c>
    </row>
    <row r="671" spans="1:50" ht="15">
      <c r="A671" s="28">
        <v>44657</v>
      </c>
      <c r="B671" s="56">
        <v>27954550000</v>
      </c>
      <c r="C671" s="56">
        <v>73772385000</v>
      </c>
      <c r="D671" s="56"/>
      <c r="E671" s="56"/>
      <c r="F671" s="65">
        <f t="shared" si="395"/>
        <v>101726935000</v>
      </c>
      <c r="G671" s="65">
        <f>ROUND(F671*0.027%,0)</f>
        <v>27466272</v>
      </c>
      <c r="H671" s="58">
        <f>J671-I671</f>
        <v>0</v>
      </c>
      <c r="I671" s="57"/>
      <c r="J671" s="57"/>
      <c r="K671" s="57"/>
      <c r="L671" s="58">
        <f>N671-M671</f>
        <v>6205000</v>
      </c>
      <c r="M671" s="57"/>
      <c r="N671" s="57">
        <v>6205000</v>
      </c>
      <c r="O671" s="58">
        <f>Q671-P671</f>
        <v>1411738000</v>
      </c>
      <c r="P671" s="57"/>
      <c r="Q671" s="57">
        <v>1411738000</v>
      </c>
      <c r="R671" s="58">
        <f>T671-S671</f>
        <v>1008968000</v>
      </c>
      <c r="S671" s="57"/>
      <c r="T671" s="57">
        <v>1008968000</v>
      </c>
      <c r="U671" s="58">
        <f>W671-V671</f>
        <v>785373000</v>
      </c>
      <c r="V671" s="57"/>
      <c r="W671" s="57">
        <v>785373000</v>
      </c>
      <c r="X671" s="58">
        <f>Z671-Y671</f>
        <v>657031000</v>
      </c>
      <c r="Y671" s="121"/>
      <c r="Z671" s="57">
        <v>657031000</v>
      </c>
      <c r="AA671" s="121"/>
      <c r="AB671" s="121"/>
      <c r="AC671" s="121"/>
      <c r="AD671" s="121"/>
      <c r="AE671" s="121"/>
      <c r="AF671" s="121"/>
      <c r="AG671" s="121"/>
      <c r="AH671" s="121"/>
      <c r="AI671" s="121"/>
      <c r="AJ671" s="121">
        <f t="shared" si="393"/>
        <v>417886</v>
      </c>
      <c r="AK671" s="59">
        <f>45400*0.3</f>
        <v>13620</v>
      </c>
      <c r="AL671" s="54">
        <v>44657</v>
      </c>
      <c r="AM671" s="60">
        <v>716</v>
      </c>
      <c r="AN671" s="34">
        <v>5176500</v>
      </c>
      <c r="AO671" s="125">
        <f t="shared" si="402"/>
        <v>1933200</v>
      </c>
      <c r="AP671" s="59"/>
      <c r="AQ671" s="100">
        <v>71927445385456</v>
      </c>
      <c r="AR671" s="100">
        <v>87635000000</v>
      </c>
      <c r="AS671" s="100">
        <v>5064576000</v>
      </c>
      <c r="AT671" s="103">
        <v>106791511000</v>
      </c>
      <c r="AU671" s="55">
        <f t="shared" si="339"/>
        <v>35007478</v>
      </c>
      <c r="AV671" s="99">
        <f t="shared" si="403"/>
        <v>13112619849.6</v>
      </c>
    </row>
    <row r="672" spans="1:50" ht="15">
      <c r="A672" s="28">
        <v>44658</v>
      </c>
      <c r="B672" s="118">
        <v>72975365000</v>
      </c>
      <c r="C672" s="118">
        <v>126831115000</v>
      </c>
      <c r="D672" s="118"/>
      <c r="E672" s="118"/>
      <c r="F672" s="120">
        <f t="shared" si="395"/>
        <v>199806480000</v>
      </c>
      <c r="G672" s="120">
        <f t="shared" ref="G672:G674" si="404">ROUND(F672*0.027%,0)</f>
        <v>53947750</v>
      </c>
      <c r="H672" s="122">
        <f>J672-I672</f>
        <v>5203000</v>
      </c>
      <c r="I672" s="121">
        <v>112217900000</v>
      </c>
      <c r="J672" s="121">
        <v>112223103000</v>
      </c>
      <c r="K672" s="121"/>
      <c r="L672" s="122">
        <f>N672-M672</f>
        <v>3113135000</v>
      </c>
      <c r="M672" s="121">
        <v>27652100000</v>
      </c>
      <c r="N672" s="121">
        <v>30765235000</v>
      </c>
      <c r="O672" s="122">
        <f>Q672-P672</f>
        <v>4379533000</v>
      </c>
      <c r="P672" s="121"/>
      <c r="Q672" s="121">
        <v>4379533000</v>
      </c>
      <c r="R672" s="122">
        <f>T672-S672</f>
        <v>1349471000</v>
      </c>
      <c r="S672" s="121"/>
      <c r="T672" s="121">
        <v>1349471000</v>
      </c>
      <c r="U672" s="122">
        <f>W672-V672</f>
        <v>277592000</v>
      </c>
      <c r="V672" s="121"/>
      <c r="W672" s="121">
        <v>277592000</v>
      </c>
      <c r="X672" s="122">
        <f>Z672-Y672</f>
        <v>507011000</v>
      </c>
      <c r="Y672" s="121"/>
      <c r="Z672" s="121">
        <v>507011000</v>
      </c>
      <c r="AA672" s="121"/>
      <c r="AB672" s="121"/>
      <c r="AC672" s="121"/>
      <c r="AD672" s="121"/>
      <c r="AE672" s="121"/>
      <c r="AF672" s="121"/>
      <c r="AG672" s="121"/>
      <c r="AH672" s="121"/>
      <c r="AI672" s="121"/>
      <c r="AJ672" s="121">
        <f t="shared" si="393"/>
        <v>26216850</v>
      </c>
      <c r="AK672" s="124">
        <f>2349700*0.3</f>
        <v>704910</v>
      </c>
      <c r="AL672" s="54">
        <v>44658</v>
      </c>
      <c r="AM672" s="125">
        <v>971</v>
      </c>
      <c r="AN672" s="54">
        <f>1505*2550</f>
        <v>3837750</v>
      </c>
      <c r="AO672" s="125">
        <f>AM672*2700</f>
        <v>2621700</v>
      </c>
      <c r="AP672" s="124"/>
      <c r="AQ672" s="101">
        <v>65237481311174</v>
      </c>
      <c r="AR672" s="100">
        <v>583584284000</v>
      </c>
      <c r="AS672" s="101">
        <v>290562675000</v>
      </c>
      <c r="AT672" s="105">
        <v>490369155000</v>
      </c>
      <c r="AU672" s="55">
        <f t="shared" si="339"/>
        <v>87328960</v>
      </c>
      <c r="AV672" s="99">
        <f t="shared" si="403"/>
        <v>13199948809.6</v>
      </c>
    </row>
    <row r="673" spans="1:48" ht="15">
      <c r="A673" s="28">
        <v>44659</v>
      </c>
      <c r="B673" s="56">
        <v>54236165000</v>
      </c>
      <c r="C673" s="56">
        <v>54303375000</v>
      </c>
      <c r="D673" s="56"/>
      <c r="E673" s="56"/>
      <c r="F673" s="65">
        <f t="shared" si="395"/>
        <v>108539540000</v>
      </c>
      <c r="G673" s="65">
        <f t="shared" si="404"/>
        <v>29305676</v>
      </c>
      <c r="H673" s="58">
        <f t="shared" ref="H673" si="405">J673-I673</f>
        <v>0</v>
      </c>
      <c r="I673" s="57">
        <v>25857000000</v>
      </c>
      <c r="J673" s="57">
        <v>25857000000</v>
      </c>
      <c r="K673" s="57"/>
      <c r="L673" s="58">
        <f t="shared" ref="L673" si="406">N673-M673</f>
        <v>0</v>
      </c>
      <c r="M673" s="57">
        <v>61026900000</v>
      </c>
      <c r="N673" s="57">
        <v>61026900000</v>
      </c>
      <c r="O673" s="58">
        <f t="shared" ref="O673" si="407">Q673-P673</f>
        <v>564639000</v>
      </c>
      <c r="P673" s="57"/>
      <c r="Q673" s="57">
        <v>564639000</v>
      </c>
      <c r="R673" s="58">
        <f t="shared" ref="R673" si="408">T673-S673</f>
        <v>2264060000</v>
      </c>
      <c r="S673" s="57"/>
      <c r="T673" s="57">
        <v>2264060000</v>
      </c>
      <c r="U673" s="58">
        <f t="shared" ref="U673" si="409">W673-V673</f>
        <v>278260000</v>
      </c>
      <c r="V673" s="57"/>
      <c r="W673" s="57">
        <v>278260000</v>
      </c>
      <c r="X673" s="58">
        <f t="shared" ref="X673" si="410">Z673-Y673</f>
        <v>620634000</v>
      </c>
      <c r="Y673" s="121"/>
      <c r="Z673" s="57">
        <v>620634000</v>
      </c>
      <c r="AA673" s="121"/>
      <c r="AB673" s="121"/>
      <c r="AC673" s="121"/>
      <c r="AD673" s="121"/>
      <c r="AE673" s="121"/>
      <c r="AF673" s="121"/>
      <c r="AG673" s="121"/>
      <c r="AH673" s="121"/>
      <c r="AI673" s="121"/>
      <c r="AJ673" s="121">
        <f t="shared" si="393"/>
        <v>16041682</v>
      </c>
      <c r="AK673" s="59">
        <f>(422400*0.3)+300000</f>
        <v>426720</v>
      </c>
      <c r="AL673" s="54">
        <v>44659</v>
      </c>
      <c r="AM673" s="60">
        <v>750</v>
      </c>
      <c r="AN673" s="34">
        <v>14045400</v>
      </c>
      <c r="AO673" s="125">
        <f>AM673*2700</f>
        <v>2025000</v>
      </c>
      <c r="AP673" s="59"/>
      <c r="AQ673" s="100">
        <v>56945210993120</v>
      </c>
      <c r="AR673" s="100">
        <v>301737214000</v>
      </c>
      <c r="AS673" s="100">
        <v>178610493000</v>
      </c>
      <c r="AT673" s="103">
        <v>287150033000</v>
      </c>
      <c r="AU673" s="55">
        <f t="shared" si="339"/>
        <v>61844478</v>
      </c>
      <c r="AV673" s="99">
        <f t="shared" ref="AV673:AV689" si="411">AV672+AU673</f>
        <v>13261793287.6</v>
      </c>
    </row>
    <row r="674" spans="1:48" ht="15">
      <c r="A674" s="28">
        <v>44663</v>
      </c>
      <c r="B674" s="56">
        <v>44672150000</v>
      </c>
      <c r="C674" s="56">
        <v>13471255000</v>
      </c>
      <c r="D674" s="56"/>
      <c r="E674" s="56"/>
      <c r="F674" s="65">
        <f t="shared" si="395"/>
        <v>58143405000</v>
      </c>
      <c r="G674" s="65">
        <f t="shared" si="404"/>
        <v>15698719</v>
      </c>
      <c r="H674" s="58">
        <f>J674-I674</f>
        <v>166205000</v>
      </c>
      <c r="I674" s="57">
        <f>5098800000+5090000000+12739000000+5096000000</f>
        <v>28023800000</v>
      </c>
      <c r="J674" s="57">
        <v>28190005000</v>
      </c>
      <c r="K674" s="57"/>
      <c r="L674" s="58">
        <f>N674-M674</f>
        <v>3013000</v>
      </c>
      <c r="M674" s="57">
        <v>5974800000</v>
      </c>
      <c r="N674" s="57">
        <v>5977813000</v>
      </c>
      <c r="O674" s="58">
        <f>Q674-P674</f>
        <v>2353478000</v>
      </c>
      <c r="P674" s="57"/>
      <c r="Q674" s="57">
        <v>2353478000</v>
      </c>
      <c r="R674" s="58">
        <f>T674-S674</f>
        <v>2371416000</v>
      </c>
      <c r="S674" s="57"/>
      <c r="T674" s="57">
        <v>2371416000</v>
      </c>
      <c r="U674" s="58">
        <f>W674-V674</f>
        <v>69345000</v>
      </c>
      <c r="V674" s="57"/>
      <c r="W674" s="57">
        <v>69345000</v>
      </c>
      <c r="X674" s="58">
        <f>Z674-Y674</f>
        <v>520418000</v>
      </c>
      <c r="Y674" s="121"/>
      <c r="Z674" s="57">
        <v>520418000</v>
      </c>
      <c r="AA674" s="121"/>
      <c r="AB674" s="121"/>
      <c r="AC674" s="121"/>
      <c r="AD674" s="121"/>
      <c r="AE674" s="121"/>
      <c r="AF674" s="121"/>
      <c r="AG674" s="121"/>
      <c r="AH674" s="121"/>
      <c r="AI674" s="121"/>
      <c r="AJ674" s="121">
        <f t="shared" si="393"/>
        <v>6712007</v>
      </c>
      <c r="AK674" s="59">
        <f>670300*0.3</f>
        <v>201090</v>
      </c>
      <c r="AL674" s="54">
        <v>44663</v>
      </c>
      <c r="AM674" s="60">
        <v>360</v>
      </c>
      <c r="AN674" s="34">
        <v>3796950</v>
      </c>
      <c r="AO674" s="125">
        <f>AM674*2700</f>
        <v>972000</v>
      </c>
      <c r="AP674" s="59"/>
      <c r="AQ674" s="100">
        <v>51644631929654</v>
      </c>
      <c r="AR674" s="100">
        <v>404266416000</v>
      </c>
      <c r="AS674" s="100">
        <v>75747735000</v>
      </c>
      <c r="AT674" s="103">
        <v>133891140000</v>
      </c>
      <c r="AU674" s="55">
        <f t="shared" ref="AU674:AU705" si="412">G674+AJ674+AK674+AN674+AO674+AP674</f>
        <v>27380766</v>
      </c>
      <c r="AV674" s="99">
        <f t="shared" si="411"/>
        <v>13289174053.6</v>
      </c>
    </row>
    <row r="675" spans="1:48" ht="15">
      <c r="A675" s="28">
        <v>44664</v>
      </c>
      <c r="B675" s="56">
        <v>53859255000</v>
      </c>
      <c r="C675" s="56">
        <v>47862860000</v>
      </c>
      <c r="D675" s="56"/>
      <c r="E675" s="56"/>
      <c r="F675" s="65">
        <f t="shared" si="395"/>
        <v>101722115000</v>
      </c>
      <c r="G675" s="65">
        <f>ROUND(F675*0.027%,0)</f>
        <v>27464971</v>
      </c>
      <c r="H675" s="58">
        <f>J675-I675</f>
        <v>2585000</v>
      </c>
      <c r="I675" s="57">
        <v>15285000000</v>
      </c>
      <c r="J675" s="57">
        <v>15287585000</v>
      </c>
      <c r="K675" s="57"/>
      <c r="L675" s="58">
        <f>N675-M675</f>
        <v>0</v>
      </c>
      <c r="M675" s="57"/>
      <c r="N675" s="57"/>
      <c r="O675" s="58">
        <f>Q675-P675</f>
        <v>109993000</v>
      </c>
      <c r="P675" s="57"/>
      <c r="Q675" s="57">
        <v>109993000</v>
      </c>
      <c r="R675" s="58">
        <f>T675-S675</f>
        <v>1361542000</v>
      </c>
      <c r="S675" s="57"/>
      <c r="T675" s="57">
        <v>1361542000</v>
      </c>
      <c r="U675" s="58">
        <f>W675-V675</f>
        <v>22590000</v>
      </c>
      <c r="V675" s="57"/>
      <c r="W675" s="57">
        <v>22590000</v>
      </c>
      <c r="X675" s="58">
        <f>Z675-Y675</f>
        <v>496998000</v>
      </c>
      <c r="Y675" s="121"/>
      <c r="Z675" s="57">
        <v>496998000</v>
      </c>
      <c r="AA675" s="121"/>
      <c r="AB675" s="121"/>
      <c r="AC675" s="121"/>
      <c r="AD675" s="121"/>
      <c r="AE675" s="121"/>
      <c r="AF675" s="121"/>
      <c r="AG675" s="121"/>
      <c r="AH675" s="121"/>
      <c r="AI675" s="121"/>
      <c r="AJ675" s="121">
        <f t="shared" si="393"/>
        <v>2966620</v>
      </c>
      <c r="AK675" s="59">
        <f>796600*0.3</f>
        <v>238980</v>
      </c>
      <c r="AL675" s="54">
        <v>44664</v>
      </c>
      <c r="AM675" s="60">
        <v>663</v>
      </c>
      <c r="AN675" s="34">
        <v>4620600</v>
      </c>
      <c r="AO675" s="125">
        <f>AM675*2700</f>
        <v>1790100</v>
      </c>
      <c r="AP675" s="59"/>
      <c r="AQ675" s="100">
        <v>52836034116388</v>
      </c>
      <c r="AR675" s="100">
        <v>81600718000</v>
      </c>
      <c r="AS675" s="100">
        <v>33654208000</v>
      </c>
      <c r="AT675" s="103">
        <v>135376323000</v>
      </c>
      <c r="AU675" s="55">
        <f t="shared" si="412"/>
        <v>37081271</v>
      </c>
      <c r="AV675" s="99">
        <f t="shared" si="411"/>
        <v>13326255324.6</v>
      </c>
    </row>
    <row r="676" spans="1:48" ht="15">
      <c r="A676" s="28">
        <v>44665</v>
      </c>
      <c r="B676" s="118">
        <v>15375150000</v>
      </c>
      <c r="C676" s="118">
        <v>0</v>
      </c>
      <c r="D676" s="118"/>
      <c r="E676" s="118"/>
      <c r="F676" s="120">
        <f t="shared" si="395"/>
        <v>15375150000</v>
      </c>
      <c r="G676" s="120">
        <f t="shared" ref="G676:G679" si="413">ROUND(F676*0.027%,0)</f>
        <v>4151291</v>
      </c>
      <c r="H676" s="122">
        <f>J676-I676</f>
        <v>371828000</v>
      </c>
      <c r="I676" s="121"/>
      <c r="J676" s="121">
        <v>371828000</v>
      </c>
      <c r="K676" s="121"/>
      <c r="L676" s="122">
        <f>N676-M676</f>
        <v>184860000</v>
      </c>
      <c r="M676" s="121"/>
      <c r="N676" s="121">
        <v>184860000</v>
      </c>
      <c r="O676" s="122">
        <f>Q676-P676</f>
        <v>72765000</v>
      </c>
      <c r="P676" s="121"/>
      <c r="Q676" s="121">
        <v>72765000</v>
      </c>
      <c r="R676" s="122">
        <f>T676-S676</f>
        <v>1252496000</v>
      </c>
      <c r="S676" s="121"/>
      <c r="T676" s="121">
        <v>1252496000</v>
      </c>
      <c r="U676" s="122">
        <f>W676-V676</f>
        <v>307197000</v>
      </c>
      <c r="V676" s="121"/>
      <c r="W676" s="121">
        <v>307197000</v>
      </c>
      <c r="X676" s="122">
        <f>Z676-Y676</f>
        <v>548040000</v>
      </c>
      <c r="Y676" s="121"/>
      <c r="Z676" s="121">
        <v>548040000</v>
      </c>
      <c r="AA676" s="121"/>
      <c r="AB676" s="121"/>
      <c r="AC676" s="121"/>
      <c r="AD676" s="121"/>
      <c r="AE676" s="121"/>
      <c r="AF676" s="121"/>
      <c r="AG676" s="121"/>
      <c r="AH676" s="121"/>
      <c r="AI676" s="121"/>
      <c r="AJ676" s="121">
        <f t="shared" si="393"/>
        <v>295616</v>
      </c>
      <c r="AK676" s="124">
        <f>117990+964862</f>
        <v>1082852</v>
      </c>
      <c r="AL676" s="54">
        <v>44665</v>
      </c>
      <c r="AM676" s="125">
        <v>154</v>
      </c>
      <c r="AN676" s="54">
        <f>1674*2550</f>
        <v>4268700</v>
      </c>
      <c r="AO676" s="125">
        <f>AM676*2700</f>
        <v>415800</v>
      </c>
      <c r="AP676" s="124"/>
      <c r="AQ676" s="101">
        <v>43662920445272</v>
      </c>
      <c r="AR676" s="100">
        <v>56190000000</v>
      </c>
      <c r="AS676" s="101">
        <v>3835686000</v>
      </c>
      <c r="AT676" s="105">
        <v>19210836000</v>
      </c>
      <c r="AU676" s="55">
        <f t="shared" si="412"/>
        <v>10214259</v>
      </c>
      <c r="AV676" s="99">
        <f t="shared" si="411"/>
        <v>13336469583.6</v>
      </c>
    </row>
    <row r="677" spans="1:48" ht="15">
      <c r="A677" s="28">
        <v>44666</v>
      </c>
      <c r="B677" s="65">
        <v>44370587000</v>
      </c>
      <c r="C677" s="65">
        <v>40815145000</v>
      </c>
      <c r="D677" s="65"/>
      <c r="E677" s="65">
        <v>3813140000</v>
      </c>
      <c r="F677" s="65">
        <f t="shared" si="395"/>
        <v>88998872000</v>
      </c>
      <c r="G677" s="65">
        <f t="shared" si="413"/>
        <v>24029695</v>
      </c>
      <c r="H677" s="58">
        <f t="shared" ref="H677:H678" si="414">J677-I677</f>
        <v>2519551000</v>
      </c>
      <c r="I677" s="58"/>
      <c r="J677" s="58">
        <v>2519551000</v>
      </c>
      <c r="K677" s="58"/>
      <c r="L677" s="58">
        <f t="shared" ref="L677:L678" si="415">N677-M677</f>
        <v>9296000</v>
      </c>
      <c r="M677" s="58"/>
      <c r="N677" s="58">
        <v>9296000</v>
      </c>
      <c r="O677" s="58">
        <f t="shared" ref="O677:O678" si="416">Q677-P677</f>
        <v>1299272000</v>
      </c>
      <c r="P677" s="58"/>
      <c r="Q677" s="58">
        <v>1299272000</v>
      </c>
      <c r="R677" s="58">
        <f t="shared" ref="R677:R678" si="417">T677-S677</f>
        <v>2130095000</v>
      </c>
      <c r="S677" s="58"/>
      <c r="T677" s="58">
        <v>2130095000</v>
      </c>
      <c r="U677" s="58">
        <f t="shared" ref="U677:U678" si="418">W677-V677</f>
        <v>56107000</v>
      </c>
      <c r="V677" s="58"/>
      <c r="W677" s="58">
        <v>56107000</v>
      </c>
      <c r="X677" s="58">
        <f t="shared" ref="X677:X678" si="419">Z677-Y677</f>
        <v>515883000</v>
      </c>
      <c r="Y677" s="122"/>
      <c r="Z677" s="58">
        <v>515883000</v>
      </c>
      <c r="AA677" s="122"/>
      <c r="AB677" s="122"/>
      <c r="AC677" s="122"/>
      <c r="AD677" s="122"/>
      <c r="AE677" s="122"/>
      <c r="AF677" s="122"/>
      <c r="AG677" s="122"/>
      <c r="AH677" s="122"/>
      <c r="AI677" s="122"/>
      <c r="AJ677" s="121">
        <f t="shared" si="393"/>
        <v>705262</v>
      </c>
      <c r="AK677" s="66">
        <f>293300*0.3</f>
        <v>87990</v>
      </c>
      <c r="AL677" s="54">
        <v>44301</v>
      </c>
      <c r="AM677" s="116">
        <v>698</v>
      </c>
      <c r="AN677" s="42">
        <v>15284700</v>
      </c>
      <c r="AO677" s="125">
        <f t="shared" ref="AO677:AO680" si="420">AM677*2700</f>
        <v>1884600</v>
      </c>
      <c r="AP677" s="135"/>
      <c r="AQ677" s="102">
        <v>50396601802808</v>
      </c>
      <c r="AR677" s="102">
        <v>49135358000</v>
      </c>
      <c r="AS677" s="102">
        <v>7801044000</v>
      </c>
      <c r="AT677" s="104">
        <v>96799916000</v>
      </c>
      <c r="AU677" s="55">
        <f t="shared" si="412"/>
        <v>41992247</v>
      </c>
      <c r="AV677" s="99">
        <f t="shared" si="411"/>
        <v>13378461830.6</v>
      </c>
    </row>
    <row r="678" spans="1:48" ht="15">
      <c r="A678" s="28">
        <v>44669</v>
      </c>
      <c r="B678" s="56">
        <v>60099142000</v>
      </c>
      <c r="C678" s="56">
        <v>0</v>
      </c>
      <c r="D678" s="56"/>
      <c r="E678" s="56"/>
      <c r="F678" s="65">
        <f t="shared" si="395"/>
        <v>60099142000</v>
      </c>
      <c r="G678" s="65">
        <f t="shared" si="413"/>
        <v>16226768</v>
      </c>
      <c r="H678" s="58">
        <f t="shared" si="414"/>
        <v>12208608000</v>
      </c>
      <c r="I678" s="57">
        <v>44633400000</v>
      </c>
      <c r="J678" s="57">
        <v>56842008000</v>
      </c>
      <c r="K678" s="57"/>
      <c r="L678" s="58">
        <f t="shared" si="415"/>
        <v>12789460000</v>
      </c>
      <c r="M678" s="57"/>
      <c r="N678" s="57">
        <v>12789460000</v>
      </c>
      <c r="O678" s="58">
        <f t="shared" si="416"/>
        <v>1838860000</v>
      </c>
      <c r="P678" s="57"/>
      <c r="Q678" s="57">
        <v>1838860000</v>
      </c>
      <c r="R678" s="58">
        <f t="shared" si="417"/>
        <v>3444495000</v>
      </c>
      <c r="S678" s="57"/>
      <c r="T678" s="57">
        <v>3444495000</v>
      </c>
      <c r="U678" s="58">
        <f t="shared" si="418"/>
        <v>237349000</v>
      </c>
      <c r="V678" s="57"/>
      <c r="W678" s="57">
        <v>237349000</v>
      </c>
      <c r="X678" s="58">
        <f t="shared" si="419"/>
        <v>678610000</v>
      </c>
      <c r="Y678" s="121"/>
      <c r="Z678" s="57">
        <v>678610000</v>
      </c>
      <c r="AA678" s="121"/>
      <c r="AB678" s="121"/>
      <c r="AC678" s="121"/>
      <c r="AD678" s="121"/>
      <c r="AE678" s="121"/>
      <c r="AF678" s="121"/>
      <c r="AG678" s="121"/>
      <c r="AH678" s="121"/>
      <c r="AI678" s="121"/>
      <c r="AJ678" s="121">
        <f t="shared" si="393"/>
        <v>11403329</v>
      </c>
      <c r="AK678" s="59">
        <f>304200*0.3+300000</f>
        <v>391260</v>
      </c>
      <c r="AL678" s="54">
        <v>44304</v>
      </c>
      <c r="AM678" s="60">
        <v>1393</v>
      </c>
      <c r="AN678" s="34">
        <v>5928750</v>
      </c>
      <c r="AO678" s="125">
        <f t="shared" si="420"/>
        <v>3761100</v>
      </c>
      <c r="AP678" s="59"/>
      <c r="AQ678" s="100">
        <v>61046386858888</v>
      </c>
      <c r="AR678" s="100">
        <v>410560460000</v>
      </c>
      <c r="AS678" s="100">
        <v>121541382000</v>
      </c>
      <c r="AT678" s="103">
        <v>181640524000</v>
      </c>
      <c r="AU678" s="55">
        <f t="shared" si="412"/>
        <v>37711207</v>
      </c>
      <c r="AV678" s="99">
        <f t="shared" si="411"/>
        <v>13416173037.6</v>
      </c>
    </row>
    <row r="679" spans="1:48" ht="15">
      <c r="A679" s="28">
        <v>44670</v>
      </c>
      <c r="B679" s="56">
        <v>224357057000</v>
      </c>
      <c r="C679" s="56">
        <v>3712575000</v>
      </c>
      <c r="D679" s="56">
        <v>2239605000</v>
      </c>
      <c r="E679" s="56"/>
      <c r="F679" s="65">
        <f t="shared" si="395"/>
        <v>230309237000</v>
      </c>
      <c r="G679" s="65">
        <f t="shared" si="413"/>
        <v>62183494</v>
      </c>
      <c r="H679" s="58">
        <f>J679-I679</f>
        <v>4959906000</v>
      </c>
      <c r="I679" s="57">
        <v>180946200000</v>
      </c>
      <c r="J679" s="57">
        <v>185906106000</v>
      </c>
      <c r="K679" s="57"/>
      <c r="L679" s="58">
        <f>N679-M679</f>
        <v>6394136000</v>
      </c>
      <c r="M679" s="57">
        <v>8926600000</v>
      </c>
      <c r="N679" s="57">
        <v>15320736000</v>
      </c>
      <c r="O679" s="58">
        <f>Q679-P679</f>
        <v>984394000</v>
      </c>
      <c r="P679" s="57"/>
      <c r="Q679" s="57">
        <v>984394000</v>
      </c>
      <c r="R679" s="58">
        <f>T679-S679</f>
        <v>3901789000</v>
      </c>
      <c r="S679" s="57"/>
      <c r="T679" s="57">
        <v>3901789000</v>
      </c>
      <c r="U679" s="58">
        <f>W679-V679</f>
        <v>76677000</v>
      </c>
      <c r="V679" s="57"/>
      <c r="W679" s="57">
        <v>76677000</v>
      </c>
      <c r="X679" s="58">
        <f>Z679-Y679</f>
        <v>527701000</v>
      </c>
      <c r="Y679" s="121"/>
      <c r="Z679" s="57">
        <v>527701000</v>
      </c>
      <c r="AA679" s="121"/>
      <c r="AB679" s="121"/>
      <c r="AC679" s="121"/>
      <c r="AD679" s="121"/>
      <c r="AE679" s="121"/>
      <c r="AF679" s="121"/>
      <c r="AG679" s="121"/>
      <c r="AH679" s="121"/>
      <c r="AI679" s="121"/>
      <c r="AJ679" s="121">
        <f t="shared" si="393"/>
        <v>35996321</v>
      </c>
      <c r="AK679" s="59">
        <f>707800*0.3+300000</f>
        <v>512340</v>
      </c>
      <c r="AL679" s="54">
        <v>44305</v>
      </c>
      <c r="AM679" s="60">
        <v>2408</v>
      </c>
      <c r="AN679" s="34">
        <v>6224550</v>
      </c>
      <c r="AO679" s="125">
        <f t="shared" si="420"/>
        <v>6501600</v>
      </c>
      <c r="AP679" s="59"/>
      <c r="AQ679" s="100">
        <v>53651944156184</v>
      </c>
      <c r="AR679" s="100">
        <v>516454038000</v>
      </c>
      <c r="AS679" s="100">
        <v>397659483000</v>
      </c>
      <c r="AT679" s="103">
        <v>627968720000</v>
      </c>
      <c r="AU679" s="55">
        <f t="shared" si="412"/>
        <v>111418305</v>
      </c>
      <c r="AV679" s="99">
        <f t="shared" si="411"/>
        <v>13527591342.6</v>
      </c>
    </row>
    <row r="680" spans="1:48" ht="15">
      <c r="A680" s="28">
        <v>44671</v>
      </c>
      <c r="B680" s="56">
        <v>180090220000</v>
      </c>
      <c r="C680" s="56">
        <v>14564990000</v>
      </c>
      <c r="D680" s="56"/>
      <c r="E680" s="56"/>
      <c r="F680" s="65">
        <f t="shared" si="395"/>
        <v>194655210000</v>
      </c>
      <c r="G680" s="65">
        <f>ROUND(F680*0.027%,0)</f>
        <v>52556907</v>
      </c>
      <c r="H680" s="58">
        <f>J680-I680</f>
        <v>6310251000</v>
      </c>
      <c r="I680" s="57">
        <v>145732500000</v>
      </c>
      <c r="J680" s="57">
        <v>152042751000</v>
      </c>
      <c r="K680" s="57"/>
      <c r="L680" s="58">
        <f>N680-M680</f>
        <v>8887967000</v>
      </c>
      <c r="M680" s="57"/>
      <c r="N680" s="57">
        <v>8887967000</v>
      </c>
      <c r="O680" s="58">
        <f>Q680-P680</f>
        <v>699915000</v>
      </c>
      <c r="P680" s="57"/>
      <c r="Q680" s="57">
        <v>699915000</v>
      </c>
      <c r="R680" s="58">
        <f>T680-S680</f>
        <v>2199159000</v>
      </c>
      <c r="S680" s="57"/>
      <c r="T680" s="57">
        <v>2199159000</v>
      </c>
      <c r="U680" s="58">
        <f>W680-V680</f>
        <v>303547000</v>
      </c>
      <c r="V680" s="57"/>
      <c r="W680" s="57">
        <v>303547000</v>
      </c>
      <c r="X680" s="58">
        <f>Z680-Y680</f>
        <v>542852000</v>
      </c>
      <c r="Y680" s="121"/>
      <c r="Z680" s="57">
        <v>542852000</v>
      </c>
      <c r="AA680" s="121"/>
      <c r="AB680" s="121"/>
      <c r="AC680" s="121"/>
      <c r="AD680" s="121"/>
      <c r="AE680" s="121"/>
      <c r="AF680" s="121"/>
      <c r="AG680" s="121"/>
      <c r="AH680" s="121"/>
      <c r="AI680" s="121"/>
      <c r="AJ680" s="121">
        <f t="shared" si="393"/>
        <v>28277769</v>
      </c>
      <c r="AK680" s="59">
        <f>353600*0.3+300000</f>
        <v>406080</v>
      </c>
      <c r="AL680" s="54">
        <v>44306</v>
      </c>
      <c r="AM680" s="60">
        <v>2082</v>
      </c>
      <c r="AN680" s="34">
        <v>6902850</v>
      </c>
      <c r="AO680" s="125">
        <f t="shared" si="420"/>
        <v>5621400</v>
      </c>
      <c r="AP680" s="59"/>
      <c r="AQ680" s="100">
        <v>48860173552448</v>
      </c>
      <c r="AR680" s="100">
        <v>533012772000</v>
      </c>
      <c r="AS680" s="100">
        <v>316312479000</v>
      </c>
      <c r="AT680" s="103">
        <v>510967689000</v>
      </c>
      <c r="AU680" s="55">
        <f t="shared" si="412"/>
        <v>93765006</v>
      </c>
      <c r="AV680" s="99">
        <f t="shared" si="411"/>
        <v>13621356348.6</v>
      </c>
    </row>
    <row r="681" spans="1:48" ht="15">
      <c r="A681" s="28">
        <v>44672</v>
      </c>
      <c r="B681" s="118">
        <v>159078700000</v>
      </c>
      <c r="C681" s="118">
        <v>73683270000</v>
      </c>
      <c r="D681" s="118"/>
      <c r="E681" s="118"/>
      <c r="F681" s="120">
        <f t="shared" si="395"/>
        <v>232761970000</v>
      </c>
      <c r="G681" s="120">
        <f t="shared" ref="G681:G684" si="421">ROUND(F681*0.027%,0)</f>
        <v>62845732</v>
      </c>
      <c r="H681" s="122">
        <f>J681-I681</f>
        <v>0</v>
      </c>
      <c r="I681" s="121">
        <v>130811100000</v>
      </c>
      <c r="J681" s="121">
        <v>130811100000</v>
      </c>
      <c r="K681" s="121"/>
      <c r="L681" s="122">
        <f>N681-M681</f>
        <v>11802959000</v>
      </c>
      <c r="M681" s="121">
        <v>14637000000</v>
      </c>
      <c r="N681" s="121">
        <v>26439959000</v>
      </c>
      <c r="O681" s="122">
        <f>Q681-P681</f>
        <v>2294605000</v>
      </c>
      <c r="P681" s="121"/>
      <c r="Q681" s="121">
        <v>2294605000</v>
      </c>
      <c r="R681" s="122">
        <f>T681-S681</f>
        <v>1920670000</v>
      </c>
      <c r="S681" s="121"/>
      <c r="T681" s="121">
        <v>1920670000</v>
      </c>
      <c r="U681" s="122">
        <f>W681-V681</f>
        <v>235072000</v>
      </c>
      <c r="V681" s="121"/>
      <c r="W681" s="121">
        <v>235072000</v>
      </c>
      <c r="X681" s="122">
        <f>Z681-Y681</f>
        <v>568959000</v>
      </c>
      <c r="Y681" s="121"/>
      <c r="Z681" s="121">
        <v>568959000</v>
      </c>
      <c r="AA681" s="121"/>
      <c r="AB681" s="121"/>
      <c r="AC681" s="121"/>
      <c r="AD681" s="121"/>
      <c r="AE681" s="121"/>
      <c r="AF681" s="121"/>
      <c r="AG681" s="121"/>
      <c r="AH681" s="121"/>
      <c r="AI681" s="121"/>
      <c r="AJ681" s="121">
        <f t="shared" si="393"/>
        <v>27997463</v>
      </c>
      <c r="AK681" s="124">
        <f>925900*0.3+300000</f>
        <v>577770</v>
      </c>
      <c r="AL681" s="54">
        <v>44307</v>
      </c>
      <c r="AM681" s="125">
        <v>1274</v>
      </c>
      <c r="AN681" s="54">
        <f>3651*2550</f>
        <v>9310050</v>
      </c>
      <c r="AO681" s="125">
        <f>AM681*2700</f>
        <v>3439800</v>
      </c>
      <c r="AP681" s="124"/>
      <c r="AQ681" s="101">
        <v>57591219581856</v>
      </c>
      <c r="AR681" s="100">
        <v>445161998000</v>
      </c>
      <c r="AS681" s="101">
        <v>308923441000</v>
      </c>
      <c r="AT681" s="105">
        <v>541685411000</v>
      </c>
      <c r="AU681" s="55">
        <f t="shared" si="412"/>
        <v>104170815</v>
      </c>
      <c r="AV681" s="99">
        <f t="shared" si="411"/>
        <v>13725527163.6</v>
      </c>
    </row>
    <row r="682" spans="1:48" ht="15">
      <c r="A682" s="28">
        <v>44673</v>
      </c>
      <c r="B682" s="65">
        <v>395084950000</v>
      </c>
      <c r="C682" s="65">
        <v>51713390000</v>
      </c>
      <c r="D682" s="65">
        <v>5892510000</v>
      </c>
      <c r="E682" s="65">
        <v>3181505000</v>
      </c>
      <c r="F682" s="65">
        <f t="shared" si="395"/>
        <v>455872355000</v>
      </c>
      <c r="G682" s="65">
        <f t="shared" si="421"/>
        <v>123085536</v>
      </c>
      <c r="H682" s="58">
        <f t="shared" ref="H682:H683" si="422">J682-I682</f>
        <v>7254000000</v>
      </c>
      <c r="I682" s="58">
        <v>168805100000</v>
      </c>
      <c r="J682" s="58">
        <v>176059100000</v>
      </c>
      <c r="K682" s="58"/>
      <c r="L682" s="58">
        <f t="shared" ref="L682:L683" si="423">N682-M682</f>
        <v>16247213000</v>
      </c>
      <c r="M682" s="58">
        <v>43298500000</v>
      </c>
      <c r="N682" s="58">
        <v>59545713000</v>
      </c>
      <c r="O682" s="58">
        <f t="shared" ref="O682:O683" si="424">Q682-P682</f>
        <v>663270000</v>
      </c>
      <c r="P682" s="58"/>
      <c r="Q682" s="58">
        <v>663270000</v>
      </c>
      <c r="R682" s="58">
        <f t="shared" ref="R682:R683" si="425">T682-S682</f>
        <v>1787028000</v>
      </c>
      <c r="S682" s="58"/>
      <c r="T682" s="58">
        <v>1787028000</v>
      </c>
      <c r="U682" s="58">
        <f t="shared" ref="U682:U683" si="426">W682-V682</f>
        <v>532172000</v>
      </c>
      <c r="V682" s="58"/>
      <c r="W682" s="58">
        <v>532172000</v>
      </c>
      <c r="X682" s="58">
        <f t="shared" ref="X682:X683" si="427">Z682-Y682</f>
        <v>527461000</v>
      </c>
      <c r="Y682" s="122"/>
      <c r="Z682" s="58">
        <v>527461000</v>
      </c>
      <c r="AA682" s="122"/>
      <c r="AB682" s="122"/>
      <c r="AC682" s="122"/>
      <c r="AD682" s="122"/>
      <c r="AE682" s="122"/>
      <c r="AF682" s="122"/>
      <c r="AG682" s="122"/>
      <c r="AH682" s="122"/>
      <c r="AI682" s="122"/>
      <c r="AJ682" s="121">
        <v>41095850</v>
      </c>
      <c r="AK682" s="66">
        <f>422200*0.3+300000</f>
        <v>426660</v>
      </c>
      <c r="AL682" s="54">
        <v>44673</v>
      </c>
      <c r="AM682" s="116">
        <v>834</v>
      </c>
      <c r="AN682" s="42">
        <v>28947600</v>
      </c>
      <c r="AO682" s="125">
        <f t="shared" ref="AO682:AO685" si="428">AM682*2700</f>
        <v>2251800</v>
      </c>
      <c r="AP682" s="135"/>
      <c r="AQ682" s="102">
        <v>58382199764580</v>
      </c>
      <c r="AR682" s="102">
        <v>680771326000</v>
      </c>
      <c r="AS682" s="102">
        <v>452256999000</v>
      </c>
      <c r="AT682" s="104">
        <v>908129354000</v>
      </c>
      <c r="AU682" s="55">
        <f t="shared" si="412"/>
        <v>195807446</v>
      </c>
      <c r="AV682" s="99">
        <f t="shared" si="411"/>
        <v>13921334609.6</v>
      </c>
    </row>
    <row r="683" spans="1:48" ht="15">
      <c r="A683" s="28">
        <v>44676</v>
      </c>
      <c r="B683" s="56">
        <v>47655550000</v>
      </c>
      <c r="C683" s="56">
        <v>55537135000</v>
      </c>
      <c r="D683" s="56"/>
      <c r="E683" s="56">
        <v>3087655000</v>
      </c>
      <c r="F683" s="65">
        <f t="shared" si="395"/>
        <v>106280340000</v>
      </c>
      <c r="G683" s="65">
        <f t="shared" si="421"/>
        <v>28695692</v>
      </c>
      <c r="H683" s="58">
        <f t="shared" si="422"/>
        <v>9589554000</v>
      </c>
      <c r="I683" s="57">
        <v>24045000000</v>
      </c>
      <c r="J683" s="57">
        <v>33634554000</v>
      </c>
      <c r="K683" s="57"/>
      <c r="L683" s="58">
        <f t="shared" si="423"/>
        <v>2873741000</v>
      </c>
      <c r="M683" s="57">
        <v>48176500000</v>
      </c>
      <c r="N683" s="57">
        <v>51050241000</v>
      </c>
      <c r="O683" s="58">
        <f t="shared" si="424"/>
        <v>1544750000</v>
      </c>
      <c r="P683" s="57"/>
      <c r="Q683" s="57">
        <v>1544750000</v>
      </c>
      <c r="R683" s="58">
        <f t="shared" si="425"/>
        <v>3487063000</v>
      </c>
      <c r="S683" s="57"/>
      <c r="T683" s="57">
        <v>3487063000</v>
      </c>
      <c r="U683" s="58">
        <f t="shared" si="426"/>
        <v>566724000</v>
      </c>
      <c r="V683" s="57"/>
      <c r="W683" s="57">
        <v>566724000</v>
      </c>
      <c r="X683" s="58">
        <f t="shared" si="427"/>
        <v>6024158000</v>
      </c>
      <c r="Y683" s="121"/>
      <c r="Z683" s="57">
        <v>6024158000</v>
      </c>
      <c r="AA683" s="121"/>
      <c r="AB683" s="121"/>
      <c r="AC683" s="121"/>
      <c r="AD683" s="121"/>
      <c r="AE683" s="121"/>
      <c r="AF683" s="121"/>
      <c r="AG683" s="121"/>
      <c r="AH683" s="121"/>
      <c r="AI683" s="121"/>
      <c r="AJ683" s="121">
        <f t="shared" ref="AJ683:AJ720" si="429">ROUND(H683*0.0108%+I683*0.018%+K683*0.018%+L683*0.0108%+M683*0.018%+O683*0.0108%+P683*0.018%+R683*0.0108%+S683*0.018%+V683*0.018%+U683*0.0108%+X683*0.0108%+Y683*0.018%,0)</f>
        <v>15601157</v>
      </c>
      <c r="AK683" s="59">
        <f>1943100*0.3</f>
        <v>582930</v>
      </c>
      <c r="AL683" s="54">
        <v>44676</v>
      </c>
      <c r="AM683" s="60">
        <v>1841</v>
      </c>
      <c r="AN683" s="34">
        <v>10676850</v>
      </c>
      <c r="AO683" s="125">
        <f t="shared" si="428"/>
        <v>4970700</v>
      </c>
      <c r="AP683" s="59">
        <v>1600000</v>
      </c>
      <c r="AQ683" s="100">
        <v>51835735007382</v>
      </c>
      <c r="AR683" s="100">
        <v>427862000000</v>
      </c>
      <c r="AS683" s="100">
        <v>169824275000</v>
      </c>
      <c r="AT683" s="103">
        <v>276104615000</v>
      </c>
      <c r="AU683" s="55">
        <f t="shared" si="412"/>
        <v>62127329</v>
      </c>
      <c r="AV683" s="99">
        <f t="shared" si="411"/>
        <v>13983461938.6</v>
      </c>
    </row>
    <row r="684" spans="1:48" ht="15">
      <c r="A684" s="28">
        <v>44677</v>
      </c>
      <c r="B684" s="56">
        <v>77161040000</v>
      </c>
      <c r="C684" s="56">
        <v>81782235000</v>
      </c>
      <c r="D684" s="56"/>
      <c r="E684" s="56"/>
      <c r="F684" s="65">
        <f t="shared" si="395"/>
        <v>158943275000</v>
      </c>
      <c r="G684" s="65">
        <f t="shared" si="421"/>
        <v>42914684</v>
      </c>
      <c r="H684" s="58">
        <f t="shared" ref="H684:H687" si="430">J684-I684</f>
        <v>2311000000</v>
      </c>
      <c r="I684" s="57">
        <v>69151900000</v>
      </c>
      <c r="J684" s="57">
        <v>71462900000</v>
      </c>
      <c r="K684" s="57"/>
      <c r="L684" s="58">
        <f t="shared" ref="L684:L687" si="431">N684-M684</f>
        <v>842717000</v>
      </c>
      <c r="M684" s="57">
        <v>57491500000</v>
      </c>
      <c r="N684" s="57">
        <v>58334217000</v>
      </c>
      <c r="O684" s="58">
        <f t="shared" ref="O684:O687" si="432">Q684-P684</f>
        <v>298304000</v>
      </c>
      <c r="P684" s="57"/>
      <c r="Q684" s="57">
        <v>298304000</v>
      </c>
      <c r="R684" s="58">
        <f t="shared" ref="R684:R687" si="433">T684-S684</f>
        <v>1780455000</v>
      </c>
      <c r="S684" s="57"/>
      <c r="T684" s="57">
        <v>1780455000</v>
      </c>
      <c r="U684" s="58">
        <f t="shared" ref="U684:U687" si="434">W684-V684</f>
        <v>540087000</v>
      </c>
      <c r="V684" s="57"/>
      <c r="W684" s="57">
        <v>540087000</v>
      </c>
      <c r="X684" s="58">
        <f t="shared" ref="X684:X687" si="435">Z684-Y684</f>
        <v>531303000</v>
      </c>
      <c r="Y684" s="121"/>
      <c r="Z684" s="57">
        <v>531303000</v>
      </c>
      <c r="AA684" s="121"/>
      <c r="AB684" s="121"/>
      <c r="AC684" s="121"/>
      <c r="AD684" s="121"/>
      <c r="AE684" s="121"/>
      <c r="AF684" s="121"/>
      <c r="AG684" s="121"/>
      <c r="AH684" s="121"/>
      <c r="AI684" s="121"/>
      <c r="AJ684" s="121">
        <f t="shared" si="429"/>
        <v>23476630</v>
      </c>
      <c r="AK684" s="59">
        <f>1173400*0.3+300000</f>
        <v>652020</v>
      </c>
      <c r="AL684" s="54">
        <v>44677</v>
      </c>
      <c r="AM684" s="60">
        <v>1580</v>
      </c>
      <c r="AN684" s="34">
        <v>11181750</v>
      </c>
      <c r="AO684" s="125">
        <f t="shared" si="428"/>
        <v>4266000</v>
      </c>
      <c r="AP684" s="59">
        <v>21395047</v>
      </c>
      <c r="AQ684" s="100">
        <v>49242360416700</v>
      </c>
      <c r="AR684" s="100">
        <v>432282000000</v>
      </c>
      <c r="AS684" s="100">
        <v>261010535000</v>
      </c>
      <c r="AT684" s="103">
        <v>419953810000</v>
      </c>
      <c r="AU684" s="55">
        <f t="shared" si="412"/>
        <v>103886131</v>
      </c>
      <c r="AV684" s="99">
        <f t="shared" si="411"/>
        <v>14087348069.6</v>
      </c>
    </row>
    <row r="685" spans="1:48" ht="15">
      <c r="A685" s="28">
        <v>44678</v>
      </c>
      <c r="B685" s="56">
        <v>69747105000</v>
      </c>
      <c r="C685" s="56">
        <v>21921735000</v>
      </c>
      <c r="D685" s="56"/>
      <c r="E685" s="56"/>
      <c r="F685" s="65">
        <f t="shared" si="395"/>
        <v>91668840000</v>
      </c>
      <c r="G685" s="65">
        <f>ROUND(F685*0.027%,0)</f>
        <v>24750587</v>
      </c>
      <c r="H685" s="58">
        <f t="shared" si="430"/>
        <v>0</v>
      </c>
      <c r="I685" s="57">
        <v>18614800000</v>
      </c>
      <c r="J685" s="57">
        <v>18614800000</v>
      </c>
      <c r="K685" s="57"/>
      <c r="L685" s="58">
        <f t="shared" si="431"/>
        <v>90261000</v>
      </c>
      <c r="M685" s="57">
        <v>8370600000</v>
      </c>
      <c r="N685" s="57">
        <v>8460861000</v>
      </c>
      <c r="O685" s="58">
        <f t="shared" si="432"/>
        <v>690636000</v>
      </c>
      <c r="P685" s="57"/>
      <c r="Q685" s="57">
        <v>690636000</v>
      </c>
      <c r="R685" s="58">
        <f t="shared" si="433"/>
        <v>2244927000</v>
      </c>
      <c r="S685" s="57"/>
      <c r="T685" s="57">
        <v>2244927000</v>
      </c>
      <c r="U685" s="58">
        <f t="shared" si="434"/>
        <v>259080000</v>
      </c>
      <c r="V685" s="57"/>
      <c r="W685" s="57">
        <v>259080000</v>
      </c>
      <c r="X685" s="58">
        <f t="shared" si="435"/>
        <v>489583000</v>
      </c>
      <c r="Y685" s="121"/>
      <c r="Z685" s="57">
        <v>489583000</v>
      </c>
      <c r="AA685" s="121"/>
      <c r="AB685" s="121"/>
      <c r="AC685" s="121"/>
      <c r="AD685" s="121"/>
      <c r="AE685" s="121"/>
      <c r="AF685" s="121"/>
      <c r="AG685" s="121"/>
      <c r="AH685" s="121"/>
      <c r="AI685" s="121"/>
      <c r="AJ685" s="121">
        <f t="shared" si="429"/>
        <v>5265017</v>
      </c>
      <c r="AK685" s="59">
        <f>1779900*0.3</f>
        <v>533970</v>
      </c>
      <c r="AL685" s="54">
        <v>44678</v>
      </c>
      <c r="AM685" s="60">
        <v>602</v>
      </c>
      <c r="AN685" s="34">
        <v>10870650</v>
      </c>
      <c r="AO685" s="125">
        <f t="shared" si="428"/>
        <v>1625400</v>
      </c>
      <c r="AP685" s="59">
        <v>25438420</v>
      </c>
      <c r="AQ685" s="100">
        <v>35077317212756</v>
      </c>
      <c r="AR685" s="100">
        <v>197332000000</v>
      </c>
      <c r="AS685" s="100">
        <v>61199287000</v>
      </c>
      <c r="AT685" s="103">
        <v>152868127000</v>
      </c>
      <c r="AU685" s="55">
        <f t="shared" si="412"/>
        <v>68484044</v>
      </c>
      <c r="AV685" s="99">
        <f t="shared" si="411"/>
        <v>14155832113.6</v>
      </c>
    </row>
    <row r="686" spans="1:48" ht="15">
      <c r="A686" s="28">
        <v>44679</v>
      </c>
      <c r="B686" s="118">
        <v>20416275000</v>
      </c>
      <c r="C686" s="118">
        <v>61688565000</v>
      </c>
      <c r="D686" s="118"/>
      <c r="E686" s="118"/>
      <c r="F686" s="120">
        <f t="shared" si="395"/>
        <v>82104840000</v>
      </c>
      <c r="G686" s="120">
        <f t="shared" ref="G686:G687" si="436">ROUND(F686*0.027%,0)</f>
        <v>22168307</v>
      </c>
      <c r="H686" s="122">
        <f t="shared" si="430"/>
        <v>2387000</v>
      </c>
      <c r="I686" s="121">
        <v>11739000000</v>
      </c>
      <c r="J686" s="121">
        <v>11741387000</v>
      </c>
      <c r="K686" s="121"/>
      <c r="L686" s="122">
        <f t="shared" si="431"/>
        <v>4792763000</v>
      </c>
      <c r="M686" s="121">
        <v>30023500000</v>
      </c>
      <c r="N686" s="121">
        <v>34816263000</v>
      </c>
      <c r="O686" s="122">
        <f t="shared" si="432"/>
        <v>195224000</v>
      </c>
      <c r="P686" s="121"/>
      <c r="Q686" s="121">
        <v>195224000</v>
      </c>
      <c r="R686" s="122">
        <f t="shared" si="433"/>
        <v>1502863000</v>
      </c>
      <c r="S686" s="121"/>
      <c r="T686" s="121">
        <v>1502863000</v>
      </c>
      <c r="U686" s="122">
        <f t="shared" si="434"/>
        <v>117280000</v>
      </c>
      <c r="V686" s="121"/>
      <c r="W686" s="121">
        <v>117280000</v>
      </c>
      <c r="X686" s="122">
        <f t="shared" si="435"/>
        <v>488222000</v>
      </c>
      <c r="Y686" s="121"/>
      <c r="Z686" s="121">
        <v>488222000</v>
      </c>
      <c r="AA686" s="121"/>
      <c r="AB686" s="121"/>
      <c r="AC686" s="121"/>
      <c r="AD686" s="121"/>
      <c r="AE686" s="121"/>
      <c r="AF686" s="121"/>
      <c r="AG686" s="121"/>
      <c r="AH686" s="121"/>
      <c r="AI686" s="121"/>
      <c r="AJ686" s="121">
        <f t="shared" si="429"/>
        <v>8283914</v>
      </c>
      <c r="AK686" s="124">
        <f>372600*0.3+300000</f>
        <v>411780</v>
      </c>
      <c r="AL686" s="54">
        <v>44679</v>
      </c>
      <c r="AM686" s="125">
        <v>415</v>
      </c>
      <c r="AN686" s="54">
        <f>4566*2550</f>
        <v>11643300</v>
      </c>
      <c r="AO686" s="125">
        <f>AM686*2700</f>
        <v>1120500</v>
      </c>
      <c r="AP686" s="124"/>
      <c r="AQ686" s="101">
        <v>33018117978280</v>
      </c>
      <c r="AR686" s="100">
        <v>175351184000</v>
      </c>
      <c r="AS686" s="101">
        <v>91634339000</v>
      </c>
      <c r="AT686" s="105">
        <v>175739179000</v>
      </c>
      <c r="AU686" s="55">
        <f t="shared" si="412"/>
        <v>43627801</v>
      </c>
      <c r="AV686" s="99">
        <f t="shared" si="411"/>
        <v>14199459914.6</v>
      </c>
    </row>
    <row r="687" spans="1:48" ht="15">
      <c r="A687" s="28">
        <v>44680</v>
      </c>
      <c r="B687" s="56">
        <v>23894060000</v>
      </c>
      <c r="C687" s="56">
        <v>3151695000</v>
      </c>
      <c r="D687" s="56"/>
      <c r="E687" s="56"/>
      <c r="F687" s="65">
        <f t="shared" si="395"/>
        <v>27045755000</v>
      </c>
      <c r="G687" s="65">
        <f t="shared" si="436"/>
        <v>7302354</v>
      </c>
      <c r="H687" s="58">
        <f t="shared" si="430"/>
        <v>777022000</v>
      </c>
      <c r="I687" s="57">
        <v>5203660000</v>
      </c>
      <c r="J687" s="57">
        <v>5980682000</v>
      </c>
      <c r="K687" s="57"/>
      <c r="L687" s="58">
        <f t="shared" si="431"/>
        <v>115213000</v>
      </c>
      <c r="M687" s="57"/>
      <c r="N687" s="57">
        <v>115213000</v>
      </c>
      <c r="O687" s="58">
        <f t="shared" si="432"/>
        <v>3870715000</v>
      </c>
      <c r="P687" s="57"/>
      <c r="Q687" s="57">
        <v>3870715000</v>
      </c>
      <c r="R687" s="58">
        <f t="shared" si="433"/>
        <v>1272945000</v>
      </c>
      <c r="S687" s="57"/>
      <c r="T687" s="57">
        <v>1272945000</v>
      </c>
      <c r="U687" s="58">
        <f t="shared" si="434"/>
        <v>320165000</v>
      </c>
      <c r="V687" s="57"/>
      <c r="W687" s="57">
        <v>320165000</v>
      </c>
      <c r="X687" s="58">
        <f t="shared" si="435"/>
        <v>519506000</v>
      </c>
      <c r="Y687" s="121"/>
      <c r="Z687" s="57">
        <v>519506000</v>
      </c>
      <c r="AA687" s="121"/>
      <c r="AB687" s="121"/>
      <c r="AC687" s="121"/>
      <c r="AD687" s="121"/>
      <c r="AE687" s="121"/>
      <c r="AF687" s="121"/>
      <c r="AG687" s="121"/>
      <c r="AH687" s="121"/>
      <c r="AI687" s="121"/>
      <c r="AJ687" s="121">
        <f t="shared" si="429"/>
        <v>1679220</v>
      </c>
      <c r="AK687" s="59">
        <f>513500*0.3</f>
        <v>154050</v>
      </c>
      <c r="AL687" s="54">
        <v>44680</v>
      </c>
      <c r="AM687" s="60">
        <v>285</v>
      </c>
      <c r="AN687" s="34">
        <f>59708250-35824950</f>
        <v>23883300</v>
      </c>
      <c r="AO687" s="125">
        <f t="shared" ref="AO687:AO688" si="437">AM687*2700</f>
        <v>769500</v>
      </c>
      <c r="AP687" s="59"/>
      <c r="AQ687" s="100">
        <v>43476034410428</v>
      </c>
      <c r="AR687" s="100">
        <v>111830000000</v>
      </c>
      <c r="AS687" s="100">
        <v>18289286000</v>
      </c>
      <c r="AT687" s="103">
        <v>45335041000</v>
      </c>
      <c r="AU687" s="55">
        <f t="shared" si="412"/>
        <v>33788424</v>
      </c>
      <c r="AV687" s="99">
        <f t="shared" si="411"/>
        <v>14233248338.6</v>
      </c>
    </row>
    <row r="688" spans="1:48" ht="15">
      <c r="A688" s="28">
        <v>44685</v>
      </c>
      <c r="B688" s="56">
        <v>2685250000</v>
      </c>
      <c r="C688" s="56"/>
      <c r="D688" s="56"/>
      <c r="E688" s="56"/>
      <c r="F688" s="65">
        <f t="shared" ref="F688:F734" si="438">SUM(B688:E688)</f>
        <v>2685250000</v>
      </c>
      <c r="G688" s="65">
        <f>ROUND(F688*0.027%,0)</f>
        <v>725018</v>
      </c>
      <c r="H688" s="58">
        <f>J688-I688</f>
        <v>4719000</v>
      </c>
      <c r="I688" s="57"/>
      <c r="J688" s="150" t="s">
        <v>58</v>
      </c>
      <c r="K688" s="57"/>
      <c r="L688" s="58">
        <f>N688-M688</f>
        <v>2903000</v>
      </c>
      <c r="M688" s="57"/>
      <c r="N688" s="150" t="s">
        <v>59</v>
      </c>
      <c r="O688" s="58">
        <f>Q688-P688</f>
        <v>130804000</v>
      </c>
      <c r="P688" s="57"/>
      <c r="Q688" s="57">
        <v>130804000</v>
      </c>
      <c r="R688" s="58">
        <f>T688-S688</f>
        <v>948733000</v>
      </c>
      <c r="S688" s="57"/>
      <c r="T688" s="57" t="s">
        <v>60</v>
      </c>
      <c r="U688" s="58">
        <f>W688-V688</f>
        <v>230243000</v>
      </c>
      <c r="V688" s="57"/>
      <c r="W688" s="57">
        <v>230243000</v>
      </c>
      <c r="X688" s="58">
        <f>Z688-Y688</f>
        <v>3660000</v>
      </c>
      <c r="Y688" s="121"/>
      <c r="Z688" s="57" t="s">
        <v>61</v>
      </c>
      <c r="AA688" s="121"/>
      <c r="AB688" s="121"/>
      <c r="AC688" s="121"/>
      <c r="AD688" s="121"/>
      <c r="AE688" s="121"/>
      <c r="AF688" s="121"/>
      <c r="AG688" s="121"/>
      <c r="AH688" s="121"/>
      <c r="AI688" s="121"/>
      <c r="AJ688" s="121">
        <f t="shared" si="429"/>
        <v>142675</v>
      </c>
      <c r="AK688" s="59">
        <f>112600*0.3</f>
        <v>33780</v>
      </c>
      <c r="AL688" s="54">
        <v>44685</v>
      </c>
      <c r="AM688" s="60">
        <v>141</v>
      </c>
      <c r="AN688" s="34">
        <v>48546900</v>
      </c>
      <c r="AO688" s="125">
        <f t="shared" si="437"/>
        <v>380700</v>
      </c>
      <c r="AP688" s="59"/>
      <c r="AQ688" s="100">
        <v>33622180000000</v>
      </c>
      <c r="AR688" s="100">
        <v>21547896000</v>
      </c>
      <c r="AS688" s="100">
        <v>1323972000</v>
      </c>
      <c r="AT688" s="103">
        <v>4009222000</v>
      </c>
      <c r="AU688" s="55">
        <f t="shared" si="412"/>
        <v>49829073</v>
      </c>
      <c r="AV688" s="99">
        <f t="shared" si="411"/>
        <v>14283077411.6</v>
      </c>
    </row>
    <row r="689" spans="1:48" ht="15">
      <c r="A689" s="28">
        <v>44686</v>
      </c>
      <c r="B689" s="118">
        <v>68011200000</v>
      </c>
      <c r="C689" s="118"/>
      <c r="D689" s="118"/>
      <c r="E689" s="118"/>
      <c r="F689" s="120">
        <f t="shared" si="438"/>
        <v>68011200000</v>
      </c>
      <c r="G689" s="120">
        <f t="shared" ref="G689:G692" si="439">ROUND(F689*0.027%,0)</f>
        <v>18363024</v>
      </c>
      <c r="H689" s="122">
        <f>J689-I689</f>
        <v>2360000</v>
      </c>
      <c r="I689" s="121">
        <v>23397000000</v>
      </c>
      <c r="J689" s="151" t="s">
        <v>62</v>
      </c>
      <c r="K689" s="121"/>
      <c r="L689" s="122">
        <f>N689-M689</f>
        <v>8704000</v>
      </c>
      <c r="M689" s="121"/>
      <c r="N689" s="151" t="s">
        <v>63</v>
      </c>
      <c r="O689" s="122">
        <f>Q689-P689</f>
        <v>236458000</v>
      </c>
      <c r="P689" s="121"/>
      <c r="Q689" s="121">
        <v>236458000</v>
      </c>
      <c r="R689" s="122">
        <f>T689-S689</f>
        <v>2342630000</v>
      </c>
      <c r="S689" s="121"/>
      <c r="T689" s="121">
        <v>2342630000</v>
      </c>
      <c r="U689" s="122">
        <f>W689-V689</f>
        <v>251656000</v>
      </c>
      <c r="V689" s="121"/>
      <c r="W689" s="121" t="s">
        <v>64</v>
      </c>
      <c r="X689" s="122">
        <f>Z689-Y689</f>
        <v>504466000</v>
      </c>
      <c r="Y689" s="121"/>
      <c r="Z689" s="121">
        <v>504466000</v>
      </c>
      <c r="AA689" s="121"/>
      <c r="AB689" s="121"/>
      <c r="AC689" s="121"/>
      <c r="AD689" s="121"/>
      <c r="AE689" s="121"/>
      <c r="AF689" s="121"/>
      <c r="AG689" s="121"/>
      <c r="AH689" s="121"/>
      <c r="AI689" s="121"/>
      <c r="AJ689" s="121">
        <f t="shared" si="429"/>
        <v>4572858</v>
      </c>
      <c r="AK689" s="124">
        <f>1352800*0.3+300000</f>
        <v>705840</v>
      </c>
      <c r="AL689" s="54">
        <v>44686</v>
      </c>
      <c r="AM689" s="125">
        <v>656</v>
      </c>
      <c r="AN689" s="54">
        <f>4036*2550</f>
        <v>10291800</v>
      </c>
      <c r="AO689" s="125">
        <f>AM689*2700</f>
        <v>1771200</v>
      </c>
      <c r="AP689" s="124"/>
      <c r="AQ689" s="101">
        <v>35538802000000</v>
      </c>
      <c r="AR689" s="100">
        <v>171335824000</v>
      </c>
      <c r="AS689" s="101">
        <v>51262574230</v>
      </c>
      <c r="AT689" s="105">
        <v>119273774230</v>
      </c>
      <c r="AU689" s="55">
        <f t="shared" si="412"/>
        <v>35704722</v>
      </c>
      <c r="AV689" s="99">
        <f t="shared" si="411"/>
        <v>14318782133.6</v>
      </c>
    </row>
    <row r="690" spans="1:48" ht="15">
      <c r="A690" s="28">
        <v>44687</v>
      </c>
      <c r="B690" s="65">
        <v>26778592950</v>
      </c>
      <c r="C690" s="65"/>
      <c r="D690" s="65"/>
      <c r="E690" s="65"/>
      <c r="F690" s="65">
        <f t="shared" si="438"/>
        <v>26778592950</v>
      </c>
      <c r="G690" s="65">
        <f t="shared" si="439"/>
        <v>7230220</v>
      </c>
      <c r="H690" s="58">
        <f t="shared" ref="H690:H691" si="440">J690-I690</f>
        <v>6528171000</v>
      </c>
      <c r="I690" s="58">
        <v>8953000000</v>
      </c>
      <c r="J690" s="58">
        <v>15481171000</v>
      </c>
      <c r="K690" s="58"/>
      <c r="L690" s="58">
        <f t="shared" ref="L690:L691" si="441">N690-M690</f>
        <v>5682000</v>
      </c>
      <c r="M690" s="58"/>
      <c r="N690" s="58">
        <v>5682000</v>
      </c>
      <c r="O690" s="58">
        <f t="shared" ref="O690:O691" si="442">Q690-P690</f>
        <v>239673000</v>
      </c>
      <c r="P690" s="58"/>
      <c r="Q690" s="58">
        <v>239673000</v>
      </c>
      <c r="R690" s="58">
        <f t="shared" ref="R690:R691" si="443">T690-S690</f>
        <v>2845784000</v>
      </c>
      <c r="S690" s="58"/>
      <c r="T690" s="58">
        <v>2845784000</v>
      </c>
      <c r="U690" s="58">
        <f t="shared" ref="U690:U691" si="444">W690-V690</f>
        <v>367878000</v>
      </c>
      <c r="V690" s="58"/>
      <c r="W690" s="58">
        <v>367878000</v>
      </c>
      <c r="X690" s="58">
        <f t="shared" ref="X690:X691" si="445">Z690-Y690</f>
        <v>676793000</v>
      </c>
      <c r="Y690" s="122"/>
      <c r="Z690" s="58">
        <v>676793000</v>
      </c>
      <c r="AA690" s="122"/>
      <c r="AB690" s="122"/>
      <c r="AC690" s="122"/>
      <c r="AD690" s="122"/>
      <c r="AE690" s="122"/>
      <c r="AF690" s="122"/>
      <c r="AG690" s="122"/>
      <c r="AH690" s="122"/>
      <c r="AI690" s="122"/>
      <c r="AJ690" s="121">
        <f t="shared" si="429"/>
        <v>2763250</v>
      </c>
      <c r="AK690" s="66">
        <f>948600*0.3</f>
        <v>284580</v>
      </c>
      <c r="AL690" s="54">
        <v>44687</v>
      </c>
      <c r="AM690" s="116">
        <v>346</v>
      </c>
      <c r="AN690" s="42">
        <f>3876*2550*3</f>
        <v>29651400</v>
      </c>
      <c r="AO690" s="125">
        <f t="shared" ref="AO690:AO693" si="446">AM690*2700</f>
        <v>934200</v>
      </c>
      <c r="AP690" s="135"/>
      <c r="AQ690" s="102">
        <v>38477092000000</v>
      </c>
      <c r="AR690" s="102">
        <v>137116928000</v>
      </c>
      <c r="AS690" s="102">
        <v>20795468050</v>
      </c>
      <c r="AT690" s="104">
        <v>47574061000</v>
      </c>
      <c r="AU690" s="55">
        <f t="shared" si="412"/>
        <v>40863650</v>
      </c>
      <c r="AV690" s="99">
        <f t="shared" ref="AV690:AV704" si="447">AV689+AU690</f>
        <v>14359645783.6</v>
      </c>
    </row>
    <row r="691" spans="1:48" ht="15">
      <c r="A691" s="28">
        <v>44690</v>
      </c>
      <c r="B691" s="56">
        <v>103616120000</v>
      </c>
      <c r="C691" s="56"/>
      <c r="D691" s="56"/>
      <c r="E691" s="56"/>
      <c r="F691" s="65">
        <f t="shared" si="438"/>
        <v>103616120000</v>
      </c>
      <c r="G691" s="65">
        <f t="shared" si="439"/>
        <v>27976352</v>
      </c>
      <c r="H691" s="58">
        <f t="shared" si="440"/>
        <v>11451661000</v>
      </c>
      <c r="I691" s="57"/>
      <c r="J691" s="57">
        <v>11451661000</v>
      </c>
      <c r="K691" s="57"/>
      <c r="L691" s="58">
        <f t="shared" si="441"/>
        <v>9639471000</v>
      </c>
      <c r="M691" s="57"/>
      <c r="N691" s="57">
        <v>9639471000</v>
      </c>
      <c r="O691" s="58">
        <f t="shared" si="442"/>
        <v>1856960000</v>
      </c>
      <c r="P691" s="57"/>
      <c r="Q691" s="57">
        <v>1856960000</v>
      </c>
      <c r="R691" s="58">
        <f t="shared" si="443"/>
        <v>1135313000</v>
      </c>
      <c r="S691" s="57"/>
      <c r="T691" s="57">
        <v>1135313000</v>
      </c>
      <c r="U691" s="58">
        <f t="shared" si="444"/>
        <v>452669000</v>
      </c>
      <c r="V691" s="57"/>
      <c r="W691" s="57">
        <v>452669000</v>
      </c>
      <c r="X691" s="58">
        <f t="shared" si="445"/>
        <v>487319000</v>
      </c>
      <c r="Y691" s="121"/>
      <c r="Z691" s="57">
        <v>487319000</v>
      </c>
      <c r="AA691" s="121"/>
      <c r="AB691" s="121"/>
      <c r="AC691" s="121"/>
      <c r="AD691" s="121"/>
      <c r="AE691" s="121"/>
      <c r="AF691" s="121"/>
      <c r="AG691" s="121"/>
      <c r="AH691" s="121"/>
      <c r="AI691" s="121"/>
      <c r="AJ691" s="121">
        <f t="shared" si="429"/>
        <v>2702526</v>
      </c>
      <c r="AK691" s="59">
        <f>1422400*0.3</f>
        <v>426720</v>
      </c>
      <c r="AL691" s="54">
        <v>44690</v>
      </c>
      <c r="AM691" s="60">
        <v>1446</v>
      </c>
      <c r="AN691" s="34">
        <f>3506*2550</f>
        <v>8940300</v>
      </c>
      <c r="AO691" s="125">
        <f t="shared" si="446"/>
        <v>3904200</v>
      </c>
      <c r="AP691" s="59"/>
      <c r="AQ691" s="100">
        <v>43389908000000</v>
      </c>
      <c r="AR691" s="100">
        <v>219706000000</v>
      </c>
      <c r="AS691" s="100">
        <v>34964630672</v>
      </c>
      <c r="AT691" s="103">
        <v>138580750672</v>
      </c>
      <c r="AU691" s="55">
        <f t="shared" si="412"/>
        <v>43950098</v>
      </c>
      <c r="AV691" s="99">
        <f t="shared" si="447"/>
        <v>14403595881.6</v>
      </c>
    </row>
    <row r="692" spans="1:48" ht="15">
      <c r="A692" s="28">
        <v>44691</v>
      </c>
      <c r="B692" s="56">
        <v>130784649000</v>
      </c>
      <c r="C692" s="56"/>
      <c r="D692" s="56"/>
      <c r="E692" s="56"/>
      <c r="F692" s="65">
        <f t="shared" si="438"/>
        <v>130784649000</v>
      </c>
      <c r="G692" s="65">
        <f t="shared" si="439"/>
        <v>35311855</v>
      </c>
      <c r="H692" s="58">
        <f>J692-I692</f>
        <v>36152731000</v>
      </c>
      <c r="I692" s="57"/>
      <c r="J692" s="57">
        <v>36152731000</v>
      </c>
      <c r="K692" s="57"/>
      <c r="L692" s="58">
        <f>N692-M692</f>
        <v>9375684000</v>
      </c>
      <c r="M692" s="57">
        <v>97585100000</v>
      </c>
      <c r="N692" s="57">
        <v>106960784000</v>
      </c>
      <c r="O692" s="58">
        <f>Q692-P692</f>
        <v>1172125000</v>
      </c>
      <c r="P692" s="57"/>
      <c r="Q692" s="57">
        <v>1172125000</v>
      </c>
      <c r="R692" s="58">
        <f>T692-S692</f>
        <v>1232398000</v>
      </c>
      <c r="S692" s="57"/>
      <c r="T692" s="57">
        <v>1232398000</v>
      </c>
      <c r="U692" s="58">
        <f>W692-V692</f>
        <v>154900000</v>
      </c>
      <c r="V692" s="57"/>
      <c r="W692" s="57">
        <v>154900000</v>
      </c>
      <c r="X692" s="58">
        <f>Z692-Y692</f>
        <v>438476000</v>
      </c>
      <c r="Y692" s="121"/>
      <c r="Z692" s="57">
        <v>438476000</v>
      </c>
      <c r="AA692" s="121"/>
      <c r="AB692" s="121"/>
      <c r="AC692" s="121"/>
      <c r="AD692" s="121"/>
      <c r="AE692" s="121"/>
      <c r="AF692" s="121"/>
      <c r="AG692" s="121"/>
      <c r="AH692" s="121"/>
      <c r="AI692" s="121"/>
      <c r="AJ692" s="121">
        <f t="shared" si="429"/>
        <v>22806160</v>
      </c>
      <c r="AK692" s="59">
        <f>1066800*0.3+300000</f>
        <v>620040</v>
      </c>
      <c r="AL692" s="54">
        <v>44691</v>
      </c>
      <c r="AM692" s="60">
        <v>1530</v>
      </c>
      <c r="AN692" s="34">
        <f>3678*2550</f>
        <v>9378900</v>
      </c>
      <c r="AO692" s="125">
        <f t="shared" si="446"/>
        <v>4131000</v>
      </c>
      <c r="AP692" s="59"/>
      <c r="AQ692" s="100">
        <v>39821370000000</v>
      </c>
      <c r="AR692" s="100">
        <v>695161736000</v>
      </c>
      <c r="AS692" s="100">
        <v>399309933634</v>
      </c>
      <c r="AT692" s="103">
        <v>530094582634</v>
      </c>
      <c r="AU692" s="55">
        <f t="shared" si="412"/>
        <v>72247955</v>
      </c>
      <c r="AV692" s="99">
        <f t="shared" si="447"/>
        <v>14475843836.6</v>
      </c>
    </row>
    <row r="693" spans="1:48" ht="15">
      <c r="A693" s="28">
        <v>44692</v>
      </c>
      <c r="B693" s="56">
        <v>131365878000</v>
      </c>
      <c r="C693" s="56"/>
      <c r="D693" s="56"/>
      <c r="E693" s="56"/>
      <c r="F693" s="65">
        <f t="shared" si="438"/>
        <v>131365878000</v>
      </c>
      <c r="G693" s="65">
        <f>ROUND(F693*0.027%,0)</f>
        <v>35468787</v>
      </c>
      <c r="H693" s="58">
        <f>J693-I693</f>
        <v>36786788000</v>
      </c>
      <c r="I693" s="57"/>
      <c r="J693" s="57">
        <v>36786788000</v>
      </c>
      <c r="K693" s="57"/>
      <c r="L693" s="58">
        <f>N693-M693</f>
        <v>0</v>
      </c>
      <c r="M693" s="57">
        <v>28886000000</v>
      </c>
      <c r="N693" s="57">
        <v>28886000000</v>
      </c>
      <c r="O693" s="58">
        <f>Q693-P693</f>
        <v>418453000</v>
      </c>
      <c r="P693" s="57"/>
      <c r="Q693" s="57">
        <v>418453000</v>
      </c>
      <c r="R693" s="58">
        <f>T693-S693</f>
        <v>1422190000</v>
      </c>
      <c r="S693" s="57"/>
      <c r="T693" s="57">
        <v>1422190000</v>
      </c>
      <c r="U693" s="58">
        <f>W693-V693</f>
        <v>712506000</v>
      </c>
      <c r="V693" s="57"/>
      <c r="W693" s="57">
        <v>712506000</v>
      </c>
      <c r="X693" s="58">
        <f>Z693-Y693</f>
        <v>443993000</v>
      </c>
      <c r="Y693" s="121"/>
      <c r="Z693" s="57">
        <v>443993000</v>
      </c>
      <c r="AA693" s="121"/>
      <c r="AB693" s="121"/>
      <c r="AC693" s="121"/>
      <c r="AD693" s="121"/>
      <c r="AE693" s="121"/>
      <c r="AF693" s="121"/>
      <c r="AG693" s="121"/>
      <c r="AH693" s="121"/>
      <c r="AI693" s="121"/>
      <c r="AJ693" s="121">
        <f t="shared" si="429"/>
        <v>9496144</v>
      </c>
      <c r="AK693" s="59">
        <f>1976500*0.3+300000</f>
        <v>892950</v>
      </c>
      <c r="AL693" s="54">
        <v>44692</v>
      </c>
      <c r="AM693" s="60">
        <v>1329</v>
      </c>
      <c r="AN693" s="34">
        <f>2873*2550</f>
        <v>7326150</v>
      </c>
      <c r="AO693" s="125">
        <f t="shared" si="446"/>
        <v>3588300</v>
      </c>
      <c r="AP693" s="59"/>
      <c r="AQ693" s="100">
        <v>26033968000000</v>
      </c>
      <c r="AR693" s="100">
        <v>301670264000</v>
      </c>
      <c r="AS693" s="100">
        <v>98573221027</v>
      </c>
      <c r="AT693" s="103">
        <v>229939099027</v>
      </c>
      <c r="AU693" s="55">
        <f t="shared" si="412"/>
        <v>56772331</v>
      </c>
      <c r="AV693" s="99">
        <f t="shared" si="447"/>
        <v>14532616167.6</v>
      </c>
    </row>
    <row r="694" spans="1:48" ht="15">
      <c r="A694" s="28">
        <v>44693</v>
      </c>
      <c r="B694" s="118">
        <v>78831565000</v>
      </c>
      <c r="C694" s="118">
        <v>30443200000</v>
      </c>
      <c r="D694" s="118"/>
      <c r="E694" s="118"/>
      <c r="F694" s="120">
        <f t="shared" si="438"/>
        <v>109274765000</v>
      </c>
      <c r="G694" s="120">
        <f t="shared" ref="G694:G697" si="448">ROUND(F694*0.027%,0)</f>
        <v>29504187</v>
      </c>
      <c r="H694" s="122">
        <f>J694-I694</f>
        <v>10265904931</v>
      </c>
      <c r="I694" s="121">
        <f>15358100000+13092000000</f>
        <v>28450100000</v>
      </c>
      <c r="J694" s="121">
        <v>38716004931</v>
      </c>
      <c r="K694" s="121"/>
      <c r="L694" s="122">
        <f>N694-M694</f>
        <v>2644000</v>
      </c>
      <c r="M694" s="121">
        <v>13185000000</v>
      </c>
      <c r="N694" s="121">
        <v>13187644000</v>
      </c>
      <c r="O694" s="122">
        <f>Q694-P694</f>
        <v>807717000</v>
      </c>
      <c r="P694" s="121"/>
      <c r="Q694" s="121">
        <v>807717000</v>
      </c>
      <c r="R694" s="122">
        <f>T694-S694</f>
        <v>2112083297.9999998</v>
      </c>
      <c r="S694" s="121"/>
      <c r="T694" s="121">
        <v>2112083297.9999998</v>
      </c>
      <c r="U694" s="122">
        <f>W694-V694</f>
        <v>500664000</v>
      </c>
      <c r="V694" s="121"/>
      <c r="W694" s="121">
        <v>500664000</v>
      </c>
      <c r="X694" s="122">
        <f>Z694-Y694</f>
        <v>505962088</v>
      </c>
      <c r="Y694" s="121"/>
      <c r="Z694" s="121">
        <v>505962088</v>
      </c>
      <c r="AA694" s="121"/>
      <c r="AB694" s="121"/>
      <c r="AC694" s="121"/>
      <c r="AD694" s="121"/>
      <c r="AE694" s="121"/>
      <c r="AF694" s="121"/>
      <c r="AG694" s="121"/>
      <c r="AH694" s="121"/>
      <c r="AI694" s="121"/>
      <c r="AJ694" s="121">
        <f t="shared" si="429"/>
        <v>9027375</v>
      </c>
      <c r="AK694" s="124">
        <f>1619000*0.3+300000</f>
        <v>785700</v>
      </c>
      <c r="AL694" s="54">
        <v>44693</v>
      </c>
      <c r="AM694" s="125">
        <v>1053</v>
      </c>
      <c r="AN694" s="54">
        <f>2826*2550</f>
        <v>7206300</v>
      </c>
      <c r="AO694" s="125">
        <f>AM694*2700</f>
        <v>2843100</v>
      </c>
      <c r="AP694" s="124"/>
      <c r="AQ694" s="101">
        <v>35925626000000</v>
      </c>
      <c r="AR694" s="100">
        <v>172113302000</v>
      </c>
      <c r="AS694" s="101">
        <v>98425173185</v>
      </c>
      <c r="AT694" s="105">
        <v>207699938185</v>
      </c>
      <c r="AU694" s="55">
        <f t="shared" si="412"/>
        <v>49366662</v>
      </c>
      <c r="AV694" s="99">
        <f t="shared" si="447"/>
        <v>14581982829.6</v>
      </c>
    </row>
    <row r="695" spans="1:48" ht="15">
      <c r="A695" s="28">
        <v>44694</v>
      </c>
      <c r="B695" s="65">
        <v>142418375000</v>
      </c>
      <c r="C695" s="65">
        <v>72260545000</v>
      </c>
      <c r="D695" s="65"/>
      <c r="E695" s="65">
        <v>2592735000</v>
      </c>
      <c r="F695" s="65">
        <f t="shared" si="438"/>
        <v>217271655000</v>
      </c>
      <c r="G695" s="65">
        <f t="shared" si="448"/>
        <v>58663347</v>
      </c>
      <c r="H695" s="58">
        <f t="shared" ref="H695:H696" si="449">J695-I695</f>
        <v>12140610000</v>
      </c>
      <c r="I695" s="58">
        <v>6403500000</v>
      </c>
      <c r="J695" s="58">
        <v>18544110000</v>
      </c>
      <c r="K695" s="58"/>
      <c r="L695" s="58">
        <f t="shared" ref="L695:L696" si="450">N695-M695</f>
        <v>1292730000</v>
      </c>
      <c r="M695" s="58">
        <v>88225000000</v>
      </c>
      <c r="N695" s="58">
        <v>89517730000</v>
      </c>
      <c r="O695" s="58">
        <f t="shared" ref="O695:O696" si="451">Q695-P695</f>
        <v>472924000</v>
      </c>
      <c r="P695" s="58"/>
      <c r="Q695" s="58">
        <v>472924000</v>
      </c>
      <c r="R695" s="58">
        <f t="shared" ref="R695:R696" si="452">T695-S695</f>
        <v>1260316000</v>
      </c>
      <c r="S695" s="58"/>
      <c r="T695" s="58">
        <v>1260316000</v>
      </c>
      <c r="U695" s="58">
        <f t="shared" ref="U695:U696" si="453">W695-V695</f>
        <v>132673000</v>
      </c>
      <c r="V695" s="58"/>
      <c r="W695" s="58">
        <v>132673000</v>
      </c>
      <c r="X695" s="58">
        <f t="shared" ref="X695:X696" si="454">Z695-Y695</f>
        <v>428180000</v>
      </c>
      <c r="Y695" s="122"/>
      <c r="Z695" s="58">
        <v>428180000</v>
      </c>
      <c r="AA695" s="122"/>
      <c r="AB695" s="122"/>
      <c r="AC695" s="122"/>
      <c r="AD695" s="122"/>
      <c r="AE695" s="122"/>
      <c r="AF695" s="122"/>
      <c r="AG695" s="122"/>
      <c r="AH695" s="122"/>
      <c r="AI695" s="122"/>
      <c r="AJ695" s="121">
        <f t="shared" si="429"/>
        <v>18731693</v>
      </c>
      <c r="AK695" s="66">
        <f>1099300*0.3+300000</f>
        <v>629790</v>
      </c>
      <c r="AL695" s="54">
        <v>44694</v>
      </c>
      <c r="AM695" s="116">
        <v>2383</v>
      </c>
      <c r="AN695" s="42">
        <f>3017*2550*3</f>
        <v>23080050</v>
      </c>
      <c r="AO695" s="125">
        <f t="shared" ref="AO695:AO698" si="455">AM695*2700</f>
        <v>6434100</v>
      </c>
      <c r="AP695" s="135"/>
      <c r="AQ695" s="102">
        <v>46638586000000</v>
      </c>
      <c r="AR695" s="102">
        <v>1538468000000</v>
      </c>
      <c r="AS695" s="102">
        <v>206581233130</v>
      </c>
      <c r="AT695" s="104">
        <v>423852888130</v>
      </c>
      <c r="AU695" s="55">
        <f t="shared" si="412"/>
        <v>107538980</v>
      </c>
      <c r="AV695" s="99">
        <f t="shared" si="447"/>
        <v>14689521809.6</v>
      </c>
    </row>
    <row r="696" spans="1:48" ht="15">
      <c r="A696" s="28">
        <v>44697</v>
      </c>
      <c r="B696" s="56">
        <v>178757862099</v>
      </c>
      <c r="C696" s="56">
        <v>10203630000</v>
      </c>
      <c r="D696" s="56"/>
      <c r="E696" s="56">
        <v>5080000</v>
      </c>
      <c r="F696" s="65">
        <f t="shared" si="438"/>
        <v>188966572099</v>
      </c>
      <c r="G696" s="65">
        <f t="shared" si="448"/>
        <v>51020974</v>
      </c>
      <c r="H696" s="58">
        <f t="shared" si="449"/>
        <v>16042699000</v>
      </c>
      <c r="I696" s="57"/>
      <c r="J696" s="57">
        <v>16042699000</v>
      </c>
      <c r="K696" s="57"/>
      <c r="L696" s="58">
        <f t="shared" si="450"/>
        <v>2227529000</v>
      </c>
      <c r="M696" s="57"/>
      <c r="N696" s="57">
        <v>2227529000</v>
      </c>
      <c r="O696" s="58">
        <f t="shared" si="451"/>
        <v>293366000</v>
      </c>
      <c r="P696" s="57"/>
      <c r="Q696" s="57">
        <v>293366000</v>
      </c>
      <c r="R696" s="58">
        <f t="shared" si="452"/>
        <v>1864792000</v>
      </c>
      <c r="S696" s="57"/>
      <c r="T696" s="57">
        <v>1864792000</v>
      </c>
      <c r="U696" s="58">
        <f t="shared" si="453"/>
        <v>247108000</v>
      </c>
      <c r="V696" s="57"/>
      <c r="W696" s="57">
        <v>247108000</v>
      </c>
      <c r="X696" s="58">
        <f t="shared" si="454"/>
        <v>455656000</v>
      </c>
      <c r="Y696" s="121"/>
      <c r="Z696" s="57">
        <v>455656000</v>
      </c>
      <c r="AA696" s="121"/>
      <c r="AB696" s="121"/>
      <c r="AC696" s="121"/>
      <c r="AD696" s="121"/>
      <c r="AE696" s="121"/>
      <c r="AF696" s="121"/>
      <c r="AG696" s="121"/>
      <c r="AH696" s="121"/>
      <c r="AI696" s="121"/>
      <c r="AJ696" s="121">
        <f t="shared" si="429"/>
        <v>2282164</v>
      </c>
      <c r="AK696" s="59">
        <f>1982800*0.3</f>
        <v>594840</v>
      </c>
      <c r="AL696" s="54">
        <v>44697</v>
      </c>
      <c r="AM696" s="60">
        <v>3885</v>
      </c>
      <c r="AN696" s="34">
        <f>3428*2550</f>
        <v>8741400</v>
      </c>
      <c r="AO696" s="125">
        <f t="shared" si="455"/>
        <v>10489500</v>
      </c>
      <c r="AP696" s="59"/>
      <c r="AQ696" s="100">
        <v>33475188000000</v>
      </c>
      <c r="AR696" s="100">
        <v>146820000000</v>
      </c>
      <c r="AS696" s="100">
        <v>22053452901</v>
      </c>
      <c r="AT696" s="103">
        <v>211020025000</v>
      </c>
      <c r="AU696" s="55">
        <f t="shared" si="412"/>
        <v>73128878</v>
      </c>
      <c r="AV696" s="99">
        <f t="shared" si="447"/>
        <v>14762650687.6</v>
      </c>
    </row>
    <row r="697" spans="1:48" ht="15">
      <c r="A697" s="28">
        <v>44698</v>
      </c>
      <c r="B697" s="56">
        <v>94776063000</v>
      </c>
      <c r="C697" s="56">
        <v>68121990000</v>
      </c>
      <c r="D697" s="56"/>
      <c r="E697" s="56">
        <v>4497995000</v>
      </c>
      <c r="F697" s="65">
        <f t="shared" si="438"/>
        <v>167396048000</v>
      </c>
      <c r="G697" s="65">
        <f t="shared" si="448"/>
        <v>45196933</v>
      </c>
      <c r="H697" s="58">
        <f>J697-I697</f>
        <v>6704148000</v>
      </c>
      <c r="I697" s="57">
        <v>41335900000</v>
      </c>
      <c r="J697" s="57">
        <v>48040048000</v>
      </c>
      <c r="K697" s="57"/>
      <c r="L697" s="58">
        <f>N697-M697</f>
        <v>19663107000</v>
      </c>
      <c r="M697" s="57">
        <v>128531200000</v>
      </c>
      <c r="N697" s="57">
        <v>148194307000</v>
      </c>
      <c r="O697" s="58">
        <f>Q697-P697</f>
        <v>484117000</v>
      </c>
      <c r="P697" s="57"/>
      <c r="Q697" s="57">
        <v>484117000</v>
      </c>
      <c r="R697" s="58">
        <f>T697-S697</f>
        <v>2268505000</v>
      </c>
      <c r="S697" s="57"/>
      <c r="T697" s="57">
        <v>2268505000</v>
      </c>
      <c r="U697" s="58">
        <f>W697-V697</f>
        <v>433280000</v>
      </c>
      <c r="V697" s="57"/>
      <c r="W697" s="57">
        <v>433280000</v>
      </c>
      <c r="X697" s="58">
        <f>Z697-Y697</f>
        <v>424404000</v>
      </c>
      <c r="Y697" s="121"/>
      <c r="Z697" s="57">
        <v>424404000</v>
      </c>
      <c r="AA697" s="121"/>
      <c r="AB697" s="121"/>
      <c r="AC697" s="121"/>
      <c r="AD697" s="121"/>
      <c r="AE697" s="121"/>
      <c r="AF697" s="121"/>
      <c r="AG697" s="121"/>
      <c r="AH697" s="121"/>
      <c r="AI697" s="121"/>
      <c r="AJ697" s="121">
        <f t="shared" si="429"/>
        <v>33813655</v>
      </c>
      <c r="AK697" s="59">
        <f>515200*0.3+300000</f>
        <v>454560</v>
      </c>
      <c r="AL697" s="54">
        <v>44698</v>
      </c>
      <c r="AM697" s="60">
        <v>2402</v>
      </c>
      <c r="AN697" s="34">
        <f>3712*2550</f>
        <v>9465600</v>
      </c>
      <c r="AO697" s="125">
        <f t="shared" si="455"/>
        <v>6485400</v>
      </c>
      <c r="AP697" s="59"/>
      <c r="AQ697" s="100">
        <v>33427388000000</v>
      </c>
      <c r="AR697" s="100">
        <v>499584000000</v>
      </c>
      <c r="AS697" s="100">
        <v>383744747076</v>
      </c>
      <c r="AT697" s="103">
        <v>551140795076</v>
      </c>
      <c r="AU697" s="55">
        <f t="shared" si="412"/>
        <v>95416148</v>
      </c>
      <c r="AV697" s="99">
        <f t="shared" si="447"/>
        <v>14858066835.6</v>
      </c>
    </row>
    <row r="698" spans="1:48" ht="15">
      <c r="A698" s="28">
        <v>44699</v>
      </c>
      <c r="B698" s="56">
        <v>169669502000</v>
      </c>
      <c r="C698" s="56">
        <v>22088720000</v>
      </c>
      <c r="D698" s="56">
        <v>29700000</v>
      </c>
      <c r="E698" s="56">
        <v>2604070000</v>
      </c>
      <c r="F698" s="65">
        <f t="shared" si="438"/>
        <v>194391992000</v>
      </c>
      <c r="G698" s="65">
        <f>ROUND(F698*0.027%,0)</f>
        <v>52485838</v>
      </c>
      <c r="H698" s="58">
        <f>J698-I698</f>
        <v>4622039000</v>
      </c>
      <c r="I698" s="57">
        <v>10496100000</v>
      </c>
      <c r="J698" s="57">
        <v>15118139000</v>
      </c>
      <c r="K698" s="57"/>
      <c r="L698" s="58">
        <f>N698-M698</f>
        <v>2613000</v>
      </c>
      <c r="M698" s="57">
        <v>60685100000</v>
      </c>
      <c r="N698" s="57">
        <f>60685100000+2613000</f>
        <v>60687713000</v>
      </c>
      <c r="O698" s="58">
        <f>Q698-P698</f>
        <v>622174000</v>
      </c>
      <c r="P698" s="57"/>
      <c r="Q698" s="57">
        <v>622174000</v>
      </c>
      <c r="R698" s="58">
        <f>T698-S698</f>
        <v>1412025000</v>
      </c>
      <c r="S698" s="57"/>
      <c r="T698" s="57">
        <v>1412025000</v>
      </c>
      <c r="U698" s="58">
        <f>W698-V698</f>
        <v>731562000</v>
      </c>
      <c r="V698" s="57"/>
      <c r="W698" s="57">
        <v>731562000</v>
      </c>
      <c r="X698" s="58">
        <f>Z698-Y698</f>
        <v>426007000</v>
      </c>
      <c r="Y698" s="121"/>
      <c r="Z698" s="57">
        <v>426007000</v>
      </c>
      <c r="AA698" s="121"/>
      <c r="AB698" s="121"/>
      <c r="AC698" s="121"/>
      <c r="AD698" s="121"/>
      <c r="AE698" s="121"/>
      <c r="AF698" s="121"/>
      <c r="AG698" s="121"/>
      <c r="AH698" s="121"/>
      <c r="AI698" s="121"/>
      <c r="AJ698" s="121">
        <f t="shared" si="429"/>
        <v>13656789</v>
      </c>
      <c r="AK698" s="59">
        <f>3244300*0.3+300000-(12960540-12257640)</f>
        <v>570390</v>
      </c>
      <c r="AL698" s="54">
        <v>44699</v>
      </c>
      <c r="AM698" s="60">
        <v>2345</v>
      </c>
      <c r="AN698" s="34">
        <f>2951*2550</f>
        <v>7525050</v>
      </c>
      <c r="AO698" s="125">
        <f t="shared" si="455"/>
        <v>6331500</v>
      </c>
      <c r="AP698" s="59"/>
      <c r="AQ698" s="100">
        <v>32557810000000</v>
      </c>
      <c r="AR698" s="100">
        <v>264396000000</v>
      </c>
      <c r="AS698" s="100">
        <v>151359808454</v>
      </c>
      <c r="AT698" s="103">
        <v>345751800454</v>
      </c>
      <c r="AU698" s="55">
        <f t="shared" si="412"/>
        <v>80569567</v>
      </c>
      <c r="AV698" s="99">
        <f t="shared" si="447"/>
        <v>14938636402.6</v>
      </c>
    </row>
    <row r="699" spans="1:48" ht="15">
      <c r="A699" s="28">
        <v>44700</v>
      </c>
      <c r="B699" s="118">
        <v>209534095000</v>
      </c>
      <c r="C699" s="118">
        <v>101289995000</v>
      </c>
      <c r="D699" s="118"/>
      <c r="E699" s="118">
        <v>4686515000</v>
      </c>
      <c r="F699" s="120">
        <f t="shared" si="438"/>
        <v>315510605000</v>
      </c>
      <c r="G699" s="120">
        <f t="shared" ref="G699:G702" si="456">ROUND(F699*0.027%,0)</f>
        <v>85187863</v>
      </c>
      <c r="H699" s="122">
        <f>J699-I699</f>
        <v>0</v>
      </c>
      <c r="I699" s="121"/>
      <c r="J699" s="121"/>
      <c r="K699" s="121"/>
      <c r="L699" s="122">
        <f>N699-M699</f>
        <v>0</v>
      </c>
      <c r="M699" s="121">
        <v>22687000000</v>
      </c>
      <c r="N699" s="121">
        <v>22687000000</v>
      </c>
      <c r="O699" s="122">
        <f>Q699-P699</f>
        <v>241351000</v>
      </c>
      <c r="P699" s="121"/>
      <c r="Q699" s="121">
        <f>93996000+147355000</f>
        <v>241351000</v>
      </c>
      <c r="R699" s="122">
        <f>T699-S699</f>
        <v>1094738000</v>
      </c>
      <c r="S699" s="121"/>
      <c r="T699" s="121">
        <f>843488000+251250000</f>
        <v>1094738000</v>
      </c>
      <c r="U699" s="122">
        <f>W699-V699</f>
        <v>18836000</v>
      </c>
      <c r="V699" s="121"/>
      <c r="W699" s="121">
        <v>18836000</v>
      </c>
      <c r="X699" s="122">
        <f>Z699-Y699</f>
        <v>414000000</v>
      </c>
      <c r="Y699" s="121"/>
      <c r="Z699" s="121">
        <v>414000000</v>
      </c>
      <c r="AA699" s="121"/>
      <c r="AB699" s="121"/>
      <c r="AC699" s="121"/>
      <c r="AD699" s="121"/>
      <c r="AE699" s="121"/>
      <c r="AF699" s="121"/>
      <c r="AG699" s="121"/>
      <c r="AH699" s="121"/>
      <c r="AI699" s="121"/>
      <c r="AJ699" s="121">
        <f t="shared" si="429"/>
        <v>4274704</v>
      </c>
      <c r="AK699" s="124">
        <f>4154700*0.3</f>
        <v>1246410</v>
      </c>
      <c r="AL699" s="54">
        <v>44700</v>
      </c>
      <c r="AM699" s="125">
        <v>3145</v>
      </c>
      <c r="AN699" s="54">
        <f>2969*2550</f>
        <v>7570950</v>
      </c>
      <c r="AO699" s="125">
        <f>AM699*2700</f>
        <v>8491500</v>
      </c>
      <c r="AP699" s="124"/>
      <c r="AQ699" s="101">
        <v>30722494000000</v>
      </c>
      <c r="AR699" s="100">
        <v>87648000000</v>
      </c>
      <c r="AS699" s="101">
        <v>48059421780</v>
      </c>
      <c r="AT699" s="105">
        <v>363570026780</v>
      </c>
      <c r="AU699" s="55">
        <f t="shared" si="412"/>
        <v>106771427</v>
      </c>
      <c r="AV699" s="99">
        <f t="shared" si="447"/>
        <v>15045407829.6</v>
      </c>
    </row>
    <row r="700" spans="1:48" ht="15">
      <c r="A700" s="28">
        <v>44701</v>
      </c>
      <c r="B700" s="65">
        <v>143995855000</v>
      </c>
      <c r="C700" s="65">
        <v>60176325000</v>
      </c>
      <c r="D700" s="65"/>
      <c r="E700" s="65"/>
      <c r="F700" s="65">
        <f t="shared" si="438"/>
        <v>204172180000</v>
      </c>
      <c r="G700" s="65">
        <f t="shared" si="456"/>
        <v>55126489</v>
      </c>
      <c r="H700" s="58">
        <f t="shared" ref="H700:H701" si="457">J700-I700</f>
        <v>13557119000</v>
      </c>
      <c r="I700" s="58">
        <v>40796000000</v>
      </c>
      <c r="J700" s="58">
        <v>54353119000</v>
      </c>
      <c r="K700" s="58"/>
      <c r="L700" s="58">
        <f t="shared" ref="L700:L701" si="458">N700-M700</f>
        <v>19894033000</v>
      </c>
      <c r="M700" s="58">
        <v>28720000000</v>
      </c>
      <c r="N700" s="58">
        <v>48614033000</v>
      </c>
      <c r="O700" s="58">
        <f t="shared" ref="O700:O701" si="459">Q700-P700</f>
        <v>1448408000</v>
      </c>
      <c r="P700" s="58"/>
      <c r="Q700" s="58">
        <v>1448408000</v>
      </c>
      <c r="R700" s="58">
        <f t="shared" ref="R700:R701" si="460">T700-S700</f>
        <v>1618919000</v>
      </c>
      <c r="S700" s="58"/>
      <c r="T700" s="58">
        <v>1618919000</v>
      </c>
      <c r="U700" s="58">
        <f t="shared" ref="U700:U701" si="461">W700-V700</f>
        <v>63240000</v>
      </c>
      <c r="V700" s="58"/>
      <c r="W700" s="58">
        <v>63240000</v>
      </c>
      <c r="X700" s="58">
        <f t="shared" ref="X700:X701" si="462">Z700-Y700</f>
        <v>469260000</v>
      </c>
      <c r="Y700" s="122"/>
      <c r="Z700" s="58">
        <v>469260000</v>
      </c>
      <c r="AA700" s="122"/>
      <c r="AB700" s="122"/>
      <c r="AC700" s="122"/>
      <c r="AD700" s="122"/>
      <c r="AE700" s="122"/>
      <c r="AF700" s="122"/>
      <c r="AG700" s="122"/>
      <c r="AH700" s="122"/>
      <c r="AI700" s="122"/>
      <c r="AJ700" s="121">
        <f t="shared" si="429"/>
        <v>16514386</v>
      </c>
      <c r="AK700" s="66">
        <f>1849700*0.3+300000</f>
        <v>854910</v>
      </c>
      <c r="AL700" s="54">
        <v>44701</v>
      </c>
      <c r="AM700" s="116">
        <v>1770</v>
      </c>
      <c r="AN700" s="42">
        <f>3149*2550*3</f>
        <v>24089850</v>
      </c>
      <c r="AO700" s="125">
        <f t="shared" ref="AO700:AO703" si="463">AM700*2700</f>
        <v>4779000</v>
      </c>
      <c r="AP700" s="135"/>
      <c r="AQ700" s="102">
        <v>33811850000000</v>
      </c>
      <c r="AR700" s="102">
        <v>386302000000</v>
      </c>
      <c r="AS700" s="102">
        <v>177033991537</v>
      </c>
      <c r="AT700" s="104">
        <v>381206171537</v>
      </c>
      <c r="AU700" s="55">
        <f t="shared" si="412"/>
        <v>101364635</v>
      </c>
      <c r="AV700" s="99">
        <f t="shared" si="447"/>
        <v>15146772464.6</v>
      </c>
    </row>
    <row r="701" spans="1:48" ht="15">
      <c r="A701" s="28">
        <v>44704</v>
      </c>
      <c r="B701" s="56">
        <v>169870020000</v>
      </c>
      <c r="C701" s="56">
        <v>21138935000</v>
      </c>
      <c r="D701" s="56"/>
      <c r="E701" s="56"/>
      <c r="F701" s="65">
        <f t="shared" si="438"/>
        <v>191008955000</v>
      </c>
      <c r="G701" s="65">
        <f t="shared" si="456"/>
        <v>51572418</v>
      </c>
      <c r="H701" s="58">
        <f t="shared" si="457"/>
        <v>3769760000</v>
      </c>
      <c r="I701" s="57">
        <v>23504600000</v>
      </c>
      <c r="J701" s="57">
        <v>27274360000</v>
      </c>
      <c r="K701" s="57"/>
      <c r="L701" s="58">
        <f t="shared" si="458"/>
        <v>6722181000</v>
      </c>
      <c r="M701" s="57">
        <v>22037250000</v>
      </c>
      <c r="N701" s="57">
        <v>28759431000</v>
      </c>
      <c r="O701" s="58">
        <f t="shared" si="459"/>
        <v>7237030000</v>
      </c>
      <c r="P701" s="57"/>
      <c r="Q701" s="57">
        <v>7237030000</v>
      </c>
      <c r="R701" s="58">
        <f t="shared" si="460"/>
        <v>2122340000</v>
      </c>
      <c r="S701" s="57"/>
      <c r="T701" s="57">
        <v>2122340000</v>
      </c>
      <c r="U701" s="58">
        <f t="shared" si="461"/>
        <v>81013000</v>
      </c>
      <c r="V701" s="57"/>
      <c r="W701" s="57">
        <v>81013000</v>
      </c>
      <c r="X701" s="58">
        <f t="shared" si="462"/>
        <v>479186000</v>
      </c>
      <c r="Y701" s="121"/>
      <c r="Z701" s="57">
        <v>479186000</v>
      </c>
      <c r="AA701" s="121"/>
      <c r="AB701" s="121"/>
      <c r="AC701" s="121"/>
      <c r="AD701" s="121"/>
      <c r="AE701" s="121"/>
      <c r="AF701" s="121"/>
      <c r="AG701" s="121"/>
      <c r="AH701" s="121"/>
      <c r="AI701" s="121"/>
      <c r="AJ701" s="121">
        <f t="shared" si="429"/>
        <v>10401976</v>
      </c>
      <c r="AK701" s="59">
        <f>3436600*0.3+300000</f>
        <v>1330980</v>
      </c>
      <c r="AL701" s="54">
        <v>44704</v>
      </c>
      <c r="AM701" s="60">
        <v>1970</v>
      </c>
      <c r="AN701" s="34">
        <f>2775*2550</f>
        <v>7076250</v>
      </c>
      <c r="AO701" s="125">
        <f t="shared" si="463"/>
        <v>5319000</v>
      </c>
      <c r="AP701" s="59"/>
      <c r="AQ701" s="100">
        <v>31739398000000</v>
      </c>
      <c r="AR701" s="100">
        <v>325556000000</v>
      </c>
      <c r="AS701" s="100">
        <v>112443295938</v>
      </c>
      <c r="AT701" s="103">
        <v>303452250938</v>
      </c>
      <c r="AU701" s="55">
        <f t="shared" si="412"/>
        <v>75700624</v>
      </c>
      <c r="AV701" s="99">
        <f t="shared" si="447"/>
        <v>15222473088.6</v>
      </c>
    </row>
    <row r="702" spans="1:48" ht="15">
      <c r="A702" s="28">
        <v>44705</v>
      </c>
      <c r="B702" s="56">
        <v>151282260000</v>
      </c>
      <c r="C702" s="56">
        <v>41762760000</v>
      </c>
      <c r="D702" s="56"/>
      <c r="E702" s="56">
        <v>2543325000</v>
      </c>
      <c r="F702" s="65">
        <f t="shared" si="438"/>
        <v>195588345000</v>
      </c>
      <c r="G702" s="65">
        <f t="shared" si="456"/>
        <v>52808853</v>
      </c>
      <c r="H702" s="58">
        <f>J702-I702</f>
        <v>0</v>
      </c>
      <c r="I702" s="57">
        <v>35885100000</v>
      </c>
      <c r="J702" s="57">
        <v>35885100000</v>
      </c>
      <c r="K702" s="57"/>
      <c r="L702" s="58">
        <f>N702-M702</f>
        <v>19287198000</v>
      </c>
      <c r="M702" s="57">
        <v>33198500000</v>
      </c>
      <c r="N702" s="57">
        <v>52485698000</v>
      </c>
      <c r="O702" s="58">
        <f>Q702-P702</f>
        <v>1475837000</v>
      </c>
      <c r="P702" s="57"/>
      <c r="Q702" s="57">
        <v>1475837000</v>
      </c>
      <c r="R702" s="58">
        <f>T702-S702</f>
        <v>1067172000</v>
      </c>
      <c r="S702" s="57"/>
      <c r="T702" s="57">
        <v>1067172000</v>
      </c>
      <c r="U702" s="58">
        <f>W702-V702</f>
        <v>114371000</v>
      </c>
      <c r="V702" s="57"/>
      <c r="W702" s="57">
        <v>114371000</v>
      </c>
      <c r="X702" s="58">
        <f>Z702-Y702</f>
        <v>425555000</v>
      </c>
      <c r="Y702" s="121"/>
      <c r="Z702" s="57">
        <v>425555000</v>
      </c>
      <c r="AA702" s="121"/>
      <c r="AB702" s="121"/>
      <c r="AC702" s="121"/>
      <c r="AD702" s="121"/>
      <c r="AE702" s="121"/>
      <c r="AF702" s="121"/>
      <c r="AG702" s="121"/>
      <c r="AH702" s="121"/>
      <c r="AI702" s="121"/>
      <c r="AJ702" s="121">
        <f t="shared" si="429"/>
        <v>14851022</v>
      </c>
      <c r="AK702" s="59">
        <f>1102800*0.3+300000</f>
        <v>630840</v>
      </c>
      <c r="AL702" s="54">
        <v>44705</v>
      </c>
      <c r="AM702" s="60">
        <v>1888</v>
      </c>
      <c r="AN702" s="34">
        <f>3159*2550</f>
        <v>8055450</v>
      </c>
      <c r="AO702" s="125">
        <f t="shared" si="463"/>
        <v>5097600</v>
      </c>
      <c r="AP702" s="59"/>
      <c r="AQ702" s="100">
        <v>32259760000000</v>
      </c>
      <c r="AR702" s="100">
        <v>228562000000</v>
      </c>
      <c r="AS702" s="100">
        <v>161700573198</v>
      </c>
      <c r="AT702" s="103">
        <v>357288918198</v>
      </c>
      <c r="AU702" s="55">
        <f t="shared" si="412"/>
        <v>81443765</v>
      </c>
      <c r="AV702" s="99">
        <f t="shared" si="447"/>
        <v>15303916853.6</v>
      </c>
    </row>
    <row r="703" spans="1:48" ht="15">
      <c r="A703" s="28">
        <v>44706</v>
      </c>
      <c r="B703" s="56">
        <v>59336255000</v>
      </c>
      <c r="C703" s="56">
        <v>26475000000</v>
      </c>
      <c r="D703" s="56">
        <v>4790335000</v>
      </c>
      <c r="E703" s="56"/>
      <c r="F703" s="65">
        <f t="shared" si="438"/>
        <v>90601590000</v>
      </c>
      <c r="G703" s="65">
        <f>ROUND(F703*0.027%,0)</f>
        <v>24462429</v>
      </c>
      <c r="H703" s="58">
        <f>J703-I703</f>
        <v>99038000</v>
      </c>
      <c r="I703" s="57">
        <v>6533600000</v>
      </c>
      <c r="J703" s="57">
        <v>6632638000</v>
      </c>
      <c r="K703" s="57"/>
      <c r="L703" s="58">
        <f>N703-M703</f>
        <v>16616925000</v>
      </c>
      <c r="M703" s="57">
        <v>12091750000</v>
      </c>
      <c r="N703" s="57">
        <v>28708675000</v>
      </c>
      <c r="O703" s="58">
        <f>Q703-P703</f>
        <v>120115000</v>
      </c>
      <c r="P703" s="57"/>
      <c r="Q703" s="57">
        <v>120115000</v>
      </c>
      <c r="R703" s="58">
        <f>T703-S703</f>
        <v>726890000</v>
      </c>
      <c r="S703" s="57"/>
      <c r="T703" s="57">
        <v>726890000</v>
      </c>
      <c r="U703" s="58">
        <f>W703-V703</f>
        <v>23964000</v>
      </c>
      <c r="V703" s="57"/>
      <c r="W703" s="57">
        <v>23964000</v>
      </c>
      <c r="X703" s="58">
        <f>Z703-Y703</f>
        <v>432429000</v>
      </c>
      <c r="Y703" s="121"/>
      <c r="Z703" s="57">
        <v>432429000</v>
      </c>
      <c r="AA703" s="121"/>
      <c r="AB703" s="121"/>
      <c r="AC703" s="121"/>
      <c r="AD703" s="121"/>
      <c r="AE703" s="121"/>
      <c r="AF703" s="121"/>
      <c r="AG703" s="121"/>
      <c r="AH703" s="121"/>
      <c r="AI703" s="121"/>
      <c r="AJ703" s="121">
        <f t="shared" si="429"/>
        <v>5298654</v>
      </c>
      <c r="AK703" s="59">
        <f>1402100*0.3</f>
        <v>420630</v>
      </c>
      <c r="AL703" s="54">
        <v>44706</v>
      </c>
      <c r="AM703" s="60">
        <v>876</v>
      </c>
      <c r="AN703" s="34">
        <f>3385*2550</f>
        <v>8631750</v>
      </c>
      <c r="AO703" s="125">
        <f t="shared" si="463"/>
        <v>2365200</v>
      </c>
      <c r="AP703" s="59"/>
      <c r="AQ703" s="100">
        <v>39376578000000</v>
      </c>
      <c r="AR703" s="100">
        <v>82728000000</v>
      </c>
      <c r="AS703" s="100">
        <v>56173965684</v>
      </c>
      <c r="AT703" s="103">
        <v>146775555684</v>
      </c>
      <c r="AU703" s="55">
        <f t="shared" si="412"/>
        <v>41178663</v>
      </c>
      <c r="AV703" s="99">
        <f t="shared" si="447"/>
        <v>15345095516.6</v>
      </c>
    </row>
    <row r="704" spans="1:48" ht="15">
      <c r="A704" s="28">
        <v>44707</v>
      </c>
      <c r="B704" s="118">
        <v>108013930000</v>
      </c>
      <c r="C704" s="118">
        <v>2718090000</v>
      </c>
      <c r="D704" s="118">
        <v>4884720000</v>
      </c>
      <c r="E704" s="118"/>
      <c r="F704" s="120">
        <f t="shared" si="438"/>
        <v>115616740000</v>
      </c>
      <c r="G704" s="120">
        <f t="shared" ref="G704:G707" si="464">ROUND(F704*0.027%,0)</f>
        <v>31216520</v>
      </c>
      <c r="H704" s="122">
        <f>J704-I704</f>
        <v>11796379000</v>
      </c>
      <c r="I704" s="121">
        <f>2192800000+72591000000</f>
        <v>74783800000</v>
      </c>
      <c r="J704" s="121">
        <v>86580179000</v>
      </c>
      <c r="K704" s="121"/>
      <c r="L704" s="122">
        <f>N704-M704</f>
        <v>29587943000</v>
      </c>
      <c r="M704" s="121"/>
      <c r="N704" s="121">
        <v>29587943000</v>
      </c>
      <c r="O704" s="122">
        <f>Q704-P704</f>
        <v>41924000</v>
      </c>
      <c r="P704" s="121"/>
      <c r="Q704" s="121">
        <v>41924000</v>
      </c>
      <c r="R704" s="122">
        <f>T704-S704</f>
        <v>915801000</v>
      </c>
      <c r="S704" s="121"/>
      <c r="T704" s="121">
        <v>915801000</v>
      </c>
      <c r="U704" s="122">
        <f>W704-V704</f>
        <v>163394000</v>
      </c>
      <c r="V704" s="121"/>
      <c r="W704" s="121">
        <v>163394000</v>
      </c>
      <c r="X704" s="122">
        <f>Z704-Y704</f>
        <v>441085000</v>
      </c>
      <c r="Y704" s="121"/>
      <c r="Z704" s="121">
        <v>441085000</v>
      </c>
      <c r="AA704" s="121"/>
      <c r="AB704" s="121"/>
      <c r="AC704" s="121"/>
      <c r="AD704" s="121"/>
      <c r="AE704" s="121"/>
      <c r="AF704" s="121"/>
      <c r="AG704" s="121"/>
      <c r="AH704" s="121"/>
      <c r="AI704" s="121"/>
      <c r="AJ704" s="121">
        <f t="shared" si="429"/>
        <v>18099309</v>
      </c>
      <c r="AK704" s="124">
        <f>3572600*0.3</f>
        <v>1071780</v>
      </c>
      <c r="AL704" s="54">
        <v>44707</v>
      </c>
      <c r="AM704" s="125">
        <v>1195</v>
      </c>
      <c r="AN704" s="54">
        <f>2688*2550</f>
        <v>6854400</v>
      </c>
      <c r="AO704" s="125">
        <f>AM704*2700</f>
        <v>3226500</v>
      </c>
      <c r="AP704" s="124"/>
      <c r="AQ704" s="101">
        <v>32317682000000</v>
      </c>
      <c r="AR704" s="100">
        <v>484759000000</v>
      </c>
      <c r="AS704" s="101">
        <v>196289870544</v>
      </c>
      <c r="AT704" s="105">
        <v>311906610544</v>
      </c>
      <c r="AU704" s="55">
        <f t="shared" si="412"/>
        <v>60468509</v>
      </c>
      <c r="AV704" s="99">
        <f t="shared" si="447"/>
        <v>15405564025.6</v>
      </c>
    </row>
    <row r="705" spans="1:48" ht="15">
      <c r="A705" s="28">
        <v>44708</v>
      </c>
      <c r="B705" s="65">
        <v>72803800000</v>
      </c>
      <c r="C705" s="65">
        <v>37911185000</v>
      </c>
      <c r="D705" s="65"/>
      <c r="E705" s="65"/>
      <c r="F705" s="65">
        <f t="shared" si="438"/>
        <v>110714985000</v>
      </c>
      <c r="G705" s="65">
        <f t="shared" si="464"/>
        <v>29893046</v>
      </c>
      <c r="H705" s="58">
        <f t="shared" ref="H705:H706" si="465">J705-I705</f>
        <v>6762651000</v>
      </c>
      <c r="I705" s="58">
        <v>59995800000</v>
      </c>
      <c r="J705" s="58">
        <v>66758451000</v>
      </c>
      <c r="K705" s="58"/>
      <c r="L705" s="58">
        <f t="shared" ref="L705:L706" si="466">N705-M705</f>
        <v>5587862000</v>
      </c>
      <c r="M705" s="58">
        <v>30195400000</v>
      </c>
      <c r="N705" s="152">
        <v>35783262000</v>
      </c>
      <c r="O705" s="58">
        <f t="shared" ref="O705:O706" si="467">Q705-P705</f>
        <v>587029000</v>
      </c>
      <c r="P705" s="58"/>
      <c r="Q705" s="58">
        <v>587029000</v>
      </c>
      <c r="R705" s="58">
        <f t="shared" ref="R705:R706" si="468">T705-S705</f>
        <v>911155000</v>
      </c>
      <c r="S705" s="58"/>
      <c r="T705" s="58">
        <v>911155000</v>
      </c>
      <c r="U705" s="58">
        <f t="shared" ref="U705:U706" si="469">W705-V705</f>
        <v>318366000</v>
      </c>
      <c r="V705" s="58"/>
      <c r="W705" s="152">
        <v>318366000</v>
      </c>
      <c r="X705" s="58">
        <f t="shared" ref="X705:X706" si="470">Z705-Y705</f>
        <v>538968000</v>
      </c>
      <c r="Y705" s="122"/>
      <c r="Z705" s="58">
        <v>538968000</v>
      </c>
      <c r="AA705" s="122"/>
      <c r="AB705" s="122"/>
      <c r="AC705" s="122"/>
      <c r="AD705" s="122"/>
      <c r="AE705" s="122"/>
      <c r="AF705" s="122"/>
      <c r="AG705" s="122"/>
      <c r="AH705" s="122"/>
      <c r="AI705" s="122"/>
      <c r="AJ705" s="121">
        <f t="shared" si="429"/>
        <v>17822667</v>
      </c>
      <c r="AK705" s="66">
        <f>141000*0.3</f>
        <v>42300</v>
      </c>
      <c r="AL705" s="54">
        <v>44708</v>
      </c>
      <c r="AM705" s="116">
        <v>887</v>
      </c>
      <c r="AN705" s="42">
        <f>3007*2550*3</f>
        <v>23003550</v>
      </c>
      <c r="AO705" s="125">
        <f t="shared" ref="AO705:AO708" si="471">AM705*2700</f>
        <v>2394900</v>
      </c>
      <c r="AP705" s="59">
        <v>1600000</v>
      </c>
      <c r="AQ705" s="102">
        <v>37192128000000</v>
      </c>
      <c r="AR705" s="102">
        <v>635082100000</v>
      </c>
      <c r="AS705" s="102">
        <v>196021597747</v>
      </c>
      <c r="AT705" s="104">
        <v>306736582747</v>
      </c>
      <c r="AU705" s="55">
        <f t="shared" si="412"/>
        <v>74756463</v>
      </c>
      <c r="AV705" s="99">
        <f t="shared" ref="AV705:AV709" si="472">AV704+AU705</f>
        <v>15480320488.6</v>
      </c>
    </row>
    <row r="706" spans="1:48" ht="15">
      <c r="A706" s="28">
        <v>44711</v>
      </c>
      <c r="B706" s="56">
        <v>34333010000</v>
      </c>
      <c r="C706" s="56"/>
      <c r="D706" s="56"/>
      <c r="E706" s="56"/>
      <c r="F706" s="65">
        <f t="shared" si="438"/>
        <v>34333010000</v>
      </c>
      <c r="G706" s="65">
        <v>9784845</v>
      </c>
      <c r="H706" s="58">
        <f t="shared" si="465"/>
        <v>1272773000</v>
      </c>
      <c r="I706" s="57">
        <v>83064900000</v>
      </c>
      <c r="J706" s="57">
        <v>84337673000</v>
      </c>
      <c r="K706" s="57"/>
      <c r="L706" s="58">
        <f t="shared" si="466"/>
        <v>91301000</v>
      </c>
      <c r="M706" s="57">
        <v>76562500000</v>
      </c>
      <c r="N706" s="150">
        <v>76653801000</v>
      </c>
      <c r="O706" s="58">
        <f t="shared" si="467"/>
        <v>499209000</v>
      </c>
      <c r="P706" s="57"/>
      <c r="Q706" s="57">
        <v>499209000</v>
      </c>
      <c r="R706" s="58">
        <f t="shared" si="468"/>
        <v>857441000</v>
      </c>
      <c r="S706" s="57"/>
      <c r="T706" s="57">
        <v>857441000</v>
      </c>
      <c r="U706" s="58">
        <f t="shared" si="469"/>
        <v>146187000</v>
      </c>
      <c r="V706" s="57"/>
      <c r="W706" s="150">
        <v>146187000</v>
      </c>
      <c r="X706" s="58">
        <f t="shared" si="470"/>
        <v>453587000</v>
      </c>
      <c r="Y706" s="121"/>
      <c r="Z706" s="57">
        <v>453587000</v>
      </c>
      <c r="AA706" s="121"/>
      <c r="AB706" s="121"/>
      <c r="AC706" s="121"/>
      <c r="AD706" s="121"/>
      <c r="AE706" s="121"/>
      <c r="AF706" s="121"/>
      <c r="AG706" s="121"/>
      <c r="AH706" s="121"/>
      <c r="AI706" s="121"/>
      <c r="AJ706" s="121">
        <f t="shared" si="429"/>
        <v>29091546</v>
      </c>
      <c r="AK706" s="59">
        <f>510000*0.3</f>
        <v>153000</v>
      </c>
      <c r="AL706" s="54">
        <v>44711</v>
      </c>
      <c r="AM706" s="60">
        <v>781</v>
      </c>
      <c r="AN706" s="34">
        <f>2250*2550</f>
        <v>5737500</v>
      </c>
      <c r="AO706" s="125">
        <f t="shared" si="471"/>
        <v>2108700</v>
      </c>
      <c r="AP706" s="124">
        <v>87549760</v>
      </c>
      <c r="AQ706" s="100">
        <v>38600734000000</v>
      </c>
      <c r="AR706" s="100">
        <v>2895552000000</v>
      </c>
      <c r="AS706" s="100">
        <v>309728276200</v>
      </c>
      <c r="AT706" s="103">
        <v>344061286200</v>
      </c>
      <c r="AU706" s="55">
        <f t="shared" ref="AU706:AU737" si="473">G706+AJ706+AK706+AN706+AO706+AP706</f>
        <v>134425351</v>
      </c>
      <c r="AV706" s="99">
        <f t="shared" si="472"/>
        <v>15614745839.6</v>
      </c>
    </row>
    <row r="707" spans="1:48" ht="15">
      <c r="A707" s="28">
        <v>44712</v>
      </c>
      <c r="B707" s="56">
        <v>95260775000</v>
      </c>
      <c r="C707" s="56">
        <v>7449210000</v>
      </c>
      <c r="D707" s="56"/>
      <c r="E707" s="56"/>
      <c r="F707" s="65">
        <f t="shared" si="438"/>
        <v>102709985000</v>
      </c>
      <c r="G707" s="65">
        <f t="shared" si="464"/>
        <v>27731696</v>
      </c>
      <c r="H707" s="58">
        <f>J707-I707</f>
        <v>35909466000</v>
      </c>
      <c r="I707" s="57">
        <v>96081000000</v>
      </c>
      <c r="J707" s="57">
        <v>131990466000</v>
      </c>
      <c r="K707" s="57"/>
      <c r="L707" s="58">
        <f>N707-M707</f>
        <v>857652000</v>
      </c>
      <c r="M707" s="57">
        <v>36954000000</v>
      </c>
      <c r="N707" s="150">
        <v>37811652000</v>
      </c>
      <c r="O707" s="58">
        <f>Q707-P707</f>
        <v>1178355000</v>
      </c>
      <c r="P707" s="57"/>
      <c r="Q707" s="57">
        <v>1178355000</v>
      </c>
      <c r="R707" s="58">
        <f>T707-S707</f>
        <v>1094606000</v>
      </c>
      <c r="S707" s="57"/>
      <c r="T707" s="57">
        <v>1094606000</v>
      </c>
      <c r="U707" s="58">
        <f>W707-V707</f>
        <v>346750000</v>
      </c>
      <c r="V707" s="57"/>
      <c r="W707" s="150">
        <v>346750000</v>
      </c>
      <c r="X707" s="58">
        <f>Z707-Y707</f>
        <v>464470000</v>
      </c>
      <c r="Y707" s="121"/>
      <c r="Z707" s="57">
        <v>464470000</v>
      </c>
      <c r="AA707" s="121"/>
      <c r="AB707" s="121"/>
      <c r="AC707" s="121"/>
      <c r="AD707" s="121"/>
      <c r="AE707" s="121"/>
      <c r="AF707" s="121"/>
      <c r="AG707" s="121"/>
      <c r="AH707" s="121"/>
      <c r="AI707" s="121"/>
      <c r="AJ707" s="121">
        <f t="shared" si="429"/>
        <v>28250240</v>
      </c>
      <c r="AK707" s="59">
        <f>1692000*0.3</f>
        <v>507600</v>
      </c>
      <c r="AL707" s="54">
        <v>44712</v>
      </c>
      <c r="AM707" s="60">
        <v>1492</v>
      </c>
      <c r="AN707" s="34">
        <f>1298*2550</f>
        <v>3309900</v>
      </c>
      <c r="AO707" s="125">
        <f t="shared" si="471"/>
        <v>4028400</v>
      </c>
      <c r="AP707" s="59">
        <v>19438052</v>
      </c>
      <c r="AQ707" s="100">
        <v>38888324000000</v>
      </c>
      <c r="AR707" s="100">
        <v>1098386000000</v>
      </c>
      <c r="AS707" s="100">
        <v>307111732729</v>
      </c>
      <c r="AT707" s="103">
        <v>409821717729</v>
      </c>
      <c r="AU707" s="55">
        <f t="shared" si="473"/>
        <v>83265888</v>
      </c>
      <c r="AV707" s="99">
        <f t="shared" si="472"/>
        <v>15698011727.6</v>
      </c>
    </row>
    <row r="708" spans="1:48" ht="15">
      <c r="A708" s="28">
        <v>44713</v>
      </c>
      <c r="B708" s="56">
        <v>155295405000</v>
      </c>
      <c r="C708" s="56">
        <v>56674245000</v>
      </c>
      <c r="D708" s="56">
        <v>16394505000</v>
      </c>
      <c r="E708" s="56"/>
      <c r="F708" s="65">
        <f t="shared" si="438"/>
        <v>228364155000</v>
      </c>
      <c r="G708" s="65">
        <f>ROUND(F708*0.027%,0)</f>
        <v>61658322</v>
      </c>
      <c r="H708" s="58">
        <f>J708-I708</f>
        <v>4464933000</v>
      </c>
      <c r="I708" s="57"/>
      <c r="J708" s="57">
        <v>4464933000</v>
      </c>
      <c r="K708" s="57"/>
      <c r="L708" s="58">
        <f>N708-M708</f>
        <v>0</v>
      </c>
      <c r="M708" s="57">
        <v>4222500000</v>
      </c>
      <c r="N708" s="150">
        <v>4222500000</v>
      </c>
      <c r="O708" s="58">
        <f>Q708-P708</f>
        <v>464281000</v>
      </c>
      <c r="P708" s="57"/>
      <c r="Q708" s="57">
        <v>464281000</v>
      </c>
      <c r="R708" s="58">
        <f>T708-S708</f>
        <v>770901000</v>
      </c>
      <c r="S708" s="57"/>
      <c r="T708" s="57">
        <v>770901000</v>
      </c>
      <c r="U708" s="58">
        <f>W708-V708</f>
        <v>290309000</v>
      </c>
      <c r="V708" s="57"/>
      <c r="W708" s="150">
        <v>290309000</v>
      </c>
      <c r="X708" s="58">
        <f>Z708-Y708</f>
        <v>482840000</v>
      </c>
      <c r="Y708" s="121"/>
      <c r="Z708" s="57">
        <v>482840000</v>
      </c>
      <c r="AA708" s="121"/>
      <c r="AB708" s="121"/>
      <c r="AC708" s="121"/>
      <c r="AD708" s="121"/>
      <c r="AE708" s="121"/>
      <c r="AF708" s="121"/>
      <c r="AG708" s="121"/>
      <c r="AH708" s="121"/>
      <c r="AI708" s="121"/>
      <c r="AJ708" s="121">
        <f t="shared" si="429"/>
        <v>1459163</v>
      </c>
      <c r="AK708" s="59">
        <f>312000*0.3+500000</f>
        <v>593600</v>
      </c>
      <c r="AL708" s="54">
        <v>44713</v>
      </c>
      <c r="AM708" s="60">
        <v>2254</v>
      </c>
      <c r="AN708" s="34">
        <f>3416*2550</f>
        <v>8710800</v>
      </c>
      <c r="AO708" s="125">
        <f t="shared" si="471"/>
        <v>6085800</v>
      </c>
      <c r="AP708" s="59"/>
      <c r="AQ708" s="100">
        <v>37731316000000</v>
      </c>
      <c r="AR708" s="100">
        <v>99122684000</v>
      </c>
      <c r="AS708" s="100">
        <v>15901300414</v>
      </c>
      <c r="AT708" s="103">
        <v>244265455414</v>
      </c>
      <c r="AU708" s="55">
        <f t="shared" si="473"/>
        <v>78507685</v>
      </c>
      <c r="AV708" s="99">
        <f t="shared" si="472"/>
        <v>15776519412.6</v>
      </c>
    </row>
    <row r="709" spans="1:48" ht="15">
      <c r="A709" s="28">
        <v>44714</v>
      </c>
      <c r="B709" s="118">
        <v>47793060000</v>
      </c>
      <c r="C709" s="118">
        <v>9469215000</v>
      </c>
      <c r="D709" s="118"/>
      <c r="E709" s="118"/>
      <c r="F709" s="120">
        <f t="shared" si="438"/>
        <v>57262275000</v>
      </c>
      <c r="G709" s="120">
        <f t="shared" ref="G709:G739" si="474">ROUND(F709*0.027%,0)</f>
        <v>15460814</v>
      </c>
      <c r="H709" s="122">
        <f>J709-I709</f>
        <v>20137843000</v>
      </c>
      <c r="I709" s="121">
        <v>22469800000</v>
      </c>
      <c r="J709" s="121">
        <v>42607643000</v>
      </c>
      <c r="K709" s="121"/>
      <c r="L709" s="122">
        <f>N709-M709</f>
        <v>20750431000</v>
      </c>
      <c r="M709" s="121">
        <v>5774000000</v>
      </c>
      <c r="N709" s="151">
        <v>26524431000</v>
      </c>
      <c r="O709" s="122">
        <f>Q709-P709</f>
        <v>160671000</v>
      </c>
      <c r="P709" s="121"/>
      <c r="Q709" s="121">
        <v>160671000</v>
      </c>
      <c r="R709" s="122">
        <f>T709-S709</f>
        <v>1198337000</v>
      </c>
      <c r="S709" s="121"/>
      <c r="T709" s="121">
        <v>1198337000</v>
      </c>
      <c r="U709" s="122">
        <f>W709-V709</f>
        <v>114114000</v>
      </c>
      <c r="V709" s="121"/>
      <c r="W709" s="151">
        <v>114114000</v>
      </c>
      <c r="X709" s="122">
        <f>Z709-Y709</f>
        <v>453620000</v>
      </c>
      <c r="Y709" s="121"/>
      <c r="Z709" s="121">
        <v>453620000</v>
      </c>
      <c r="AA709" s="121"/>
      <c r="AB709" s="121"/>
      <c r="AC709" s="121"/>
      <c r="AD709" s="121"/>
      <c r="AE709" s="121"/>
      <c r="AF709" s="121"/>
      <c r="AG709" s="121"/>
      <c r="AH709" s="121"/>
      <c r="AI709" s="121"/>
      <c r="AJ709" s="121">
        <f t="shared" si="429"/>
        <v>9707906</v>
      </c>
      <c r="AK709" s="124">
        <f>693600*0.3</f>
        <v>208080</v>
      </c>
      <c r="AL709" s="54">
        <v>44714</v>
      </c>
      <c r="AM709" s="125">
        <v>728</v>
      </c>
      <c r="AN709" s="54">
        <f>3286*2550</f>
        <v>8379300</v>
      </c>
      <c r="AO709" s="125">
        <f>AM709*2700</f>
        <v>1965600</v>
      </c>
      <c r="AP709" s="59"/>
      <c r="AQ709" s="101">
        <v>39504352000000</v>
      </c>
      <c r="AR709" s="100">
        <v>172662000000</v>
      </c>
      <c r="AS709" s="101">
        <v>100563261021</v>
      </c>
      <c r="AT709" s="105">
        <v>157825536021</v>
      </c>
      <c r="AU709" s="55">
        <f t="shared" si="473"/>
        <v>35721700</v>
      </c>
      <c r="AV709" s="99">
        <f t="shared" si="472"/>
        <v>15812241112.6</v>
      </c>
    </row>
    <row r="710" spans="1:48" ht="15">
      <c r="A710" s="28">
        <v>44715</v>
      </c>
      <c r="B710" s="65">
        <v>64094530000</v>
      </c>
      <c r="C710" s="65">
        <v>28511025000</v>
      </c>
      <c r="D710" s="65"/>
      <c r="E710" s="65"/>
      <c r="F710" s="65">
        <f t="shared" si="438"/>
        <v>92605555000</v>
      </c>
      <c r="G710" s="65">
        <f t="shared" si="474"/>
        <v>25003500</v>
      </c>
      <c r="H710" s="58">
        <f t="shared" ref="H710:H711" si="475">J710-I710</f>
        <v>6845100000</v>
      </c>
      <c r="I710" s="58">
        <v>6645000000</v>
      </c>
      <c r="J710" s="58">
        <v>13490100000</v>
      </c>
      <c r="K710" s="58"/>
      <c r="L710" s="58">
        <f t="shared" ref="L710:L711" si="476">N710-M710</f>
        <v>9180547000</v>
      </c>
      <c r="M710" s="58"/>
      <c r="N710" s="152">
        <v>9180547000</v>
      </c>
      <c r="O710" s="58">
        <f t="shared" ref="O710:O711" si="477">Q710-P710</f>
        <v>2120500000</v>
      </c>
      <c r="P710" s="58"/>
      <c r="Q710" s="58">
        <v>2120500000</v>
      </c>
      <c r="R710" s="58">
        <f t="shared" ref="R710:R711" si="478">T710-S710</f>
        <v>856875000</v>
      </c>
      <c r="S710" s="58"/>
      <c r="T710" s="58">
        <v>856875000</v>
      </c>
      <c r="U710" s="58">
        <f t="shared" ref="U710:U711" si="479">W710-V710</f>
        <v>69169000</v>
      </c>
      <c r="V710" s="58"/>
      <c r="W710" s="152">
        <v>69169000</v>
      </c>
      <c r="X710" s="58">
        <f t="shared" ref="X710:X711" si="480">Z710-Y710</f>
        <v>498240000</v>
      </c>
      <c r="Y710" s="122"/>
      <c r="Z710" s="58">
        <v>498240000</v>
      </c>
      <c r="AA710" s="122"/>
      <c r="AB710" s="122"/>
      <c r="AC710" s="122"/>
      <c r="AD710" s="122"/>
      <c r="AE710" s="122"/>
      <c r="AF710" s="122"/>
      <c r="AG710" s="122"/>
      <c r="AH710" s="122"/>
      <c r="AI710" s="122"/>
      <c r="AJ710" s="121">
        <f t="shared" si="429"/>
        <v>3309707</v>
      </c>
      <c r="AK710" s="66">
        <f>988400*0.3+500000</f>
        <v>796520</v>
      </c>
      <c r="AL710" s="54">
        <v>44715</v>
      </c>
      <c r="AM710" s="116">
        <v>874</v>
      </c>
      <c r="AN710" s="42">
        <v>28794600</v>
      </c>
      <c r="AO710" s="125">
        <f>AM710*2700</f>
        <v>2359800</v>
      </c>
      <c r="AP710" s="59"/>
      <c r="AQ710" s="102">
        <v>32320414000000</v>
      </c>
      <c r="AR710" s="102">
        <v>74846000000</v>
      </c>
      <c r="AS710" s="102">
        <v>33826153498</v>
      </c>
      <c r="AT710" s="104">
        <v>126431708498</v>
      </c>
      <c r="AU710" s="55">
        <f t="shared" si="473"/>
        <v>60264127</v>
      </c>
      <c r="AV710" s="99">
        <f t="shared" ref="AV710:AV729" si="481">AV709+AU710</f>
        <v>15872505239.6</v>
      </c>
    </row>
    <row r="711" spans="1:48" ht="15">
      <c r="A711" s="28">
        <v>44718</v>
      </c>
      <c r="B711" s="56">
        <v>25880130000</v>
      </c>
      <c r="C711" s="56"/>
      <c r="D711" s="56"/>
      <c r="E711" s="56"/>
      <c r="F711" s="65">
        <f t="shared" si="438"/>
        <v>25880130000</v>
      </c>
      <c r="G711" s="65">
        <f t="shared" si="474"/>
        <v>6987635</v>
      </c>
      <c r="H711" s="58">
        <f t="shared" si="475"/>
        <v>770814000</v>
      </c>
      <c r="I711" s="57"/>
      <c r="J711" s="57">
        <v>770814000</v>
      </c>
      <c r="K711" s="57"/>
      <c r="L711" s="58">
        <f t="shared" si="476"/>
        <v>15550356000</v>
      </c>
      <c r="M711" s="57">
        <f>11672000000+5762000000</f>
        <v>17434000000</v>
      </c>
      <c r="N711" s="150">
        <v>32984356000</v>
      </c>
      <c r="O711" s="58">
        <f t="shared" si="477"/>
        <v>389911000</v>
      </c>
      <c r="P711" s="57"/>
      <c r="Q711" s="57">
        <v>389911000</v>
      </c>
      <c r="R711" s="58">
        <f t="shared" si="478"/>
        <v>568625000</v>
      </c>
      <c r="S711" s="57"/>
      <c r="T711" s="57">
        <v>568625000</v>
      </c>
      <c r="U711" s="58">
        <f t="shared" si="479"/>
        <v>111876000</v>
      </c>
      <c r="V711" s="57"/>
      <c r="W711" s="150">
        <v>111876000</v>
      </c>
      <c r="X711" s="58">
        <f t="shared" si="480"/>
        <v>509567000</v>
      </c>
      <c r="Y711" s="121"/>
      <c r="Z711" s="57">
        <f>335889000+173678000</f>
        <v>509567000</v>
      </c>
      <c r="AA711" s="121"/>
      <c r="AB711" s="121"/>
      <c r="AC711" s="121"/>
      <c r="AD711" s="121"/>
      <c r="AE711" s="121"/>
      <c r="AF711" s="121"/>
      <c r="AG711" s="121"/>
      <c r="AH711" s="121"/>
      <c r="AI711" s="121"/>
      <c r="AJ711" s="121">
        <f t="shared" si="429"/>
        <v>5071444</v>
      </c>
      <c r="AK711" s="59">
        <f>1140200*0.3</f>
        <v>342060</v>
      </c>
      <c r="AL711" s="54">
        <v>44718</v>
      </c>
      <c r="AM711" s="60">
        <v>369</v>
      </c>
      <c r="AN711" s="34">
        <v>9452850</v>
      </c>
      <c r="AO711" s="125">
        <f>AM711*2700</f>
        <v>996300</v>
      </c>
      <c r="AP711" s="124"/>
      <c r="AQ711" s="100">
        <v>41303452000000</v>
      </c>
      <c r="AR711" s="100">
        <v>291075232000</v>
      </c>
      <c r="AS711" s="100">
        <v>54155029723</v>
      </c>
      <c r="AT711" s="103">
        <v>80035159723</v>
      </c>
      <c r="AU711" s="55">
        <f t="shared" si="473"/>
        <v>22850289</v>
      </c>
      <c r="AV711" s="99">
        <f t="shared" si="481"/>
        <v>15895355528.6</v>
      </c>
    </row>
    <row r="712" spans="1:48" ht="15">
      <c r="A712" s="28">
        <v>44719</v>
      </c>
      <c r="B712" s="56">
        <v>37976660000</v>
      </c>
      <c r="C712" s="56"/>
      <c r="D712" s="56"/>
      <c r="E712" s="56"/>
      <c r="F712" s="65">
        <f t="shared" si="438"/>
        <v>37976660000</v>
      </c>
      <c r="G712" s="65">
        <f t="shared" si="474"/>
        <v>10253698</v>
      </c>
      <c r="H712" s="58">
        <f>J712-I712</f>
        <v>5301156000</v>
      </c>
      <c r="I712" s="57">
        <v>6564300000</v>
      </c>
      <c r="J712" s="57">
        <v>11865456000</v>
      </c>
      <c r="K712" s="57"/>
      <c r="L712" s="58">
        <f>N712-M712</f>
        <v>484758000</v>
      </c>
      <c r="M712" s="57">
        <v>8605000000</v>
      </c>
      <c r="N712" s="150">
        <v>9089758000</v>
      </c>
      <c r="O712" s="58">
        <f>Q712-P712</f>
        <v>925294000</v>
      </c>
      <c r="P712" s="57"/>
      <c r="Q712" s="57">
        <v>925294000</v>
      </c>
      <c r="R712" s="58">
        <f>T712-S712</f>
        <v>628495000</v>
      </c>
      <c r="S712" s="57"/>
      <c r="T712" s="57">
        <v>628495000</v>
      </c>
      <c r="U712" s="58">
        <f>W712-V712</f>
        <v>333220000</v>
      </c>
      <c r="V712" s="57"/>
      <c r="W712" s="150">
        <v>333220000</v>
      </c>
      <c r="X712" s="58">
        <f>Z712-Y712</f>
        <v>387673000</v>
      </c>
      <c r="Y712" s="121"/>
      <c r="Z712" s="57">
        <v>387673000</v>
      </c>
      <c r="AA712" s="121"/>
      <c r="AB712" s="121"/>
      <c r="AC712" s="121"/>
      <c r="AD712" s="121"/>
      <c r="AE712" s="121"/>
      <c r="AF712" s="121"/>
      <c r="AG712" s="121"/>
      <c r="AH712" s="121"/>
      <c r="AI712" s="121"/>
      <c r="AJ712" s="121">
        <f t="shared" si="429"/>
        <v>3601018</v>
      </c>
      <c r="AK712" s="59">
        <f>1263300*0.3+500000</f>
        <v>878990</v>
      </c>
      <c r="AL712" s="54">
        <v>44719</v>
      </c>
      <c r="AM712" s="60">
        <v>407</v>
      </c>
      <c r="AN712" s="34">
        <v>8634300</v>
      </c>
      <c r="AO712" s="125">
        <f>AM712*2700+972000</f>
        <v>2070900</v>
      </c>
      <c r="AP712" s="59"/>
      <c r="AQ712" s="100">
        <v>45719424000000</v>
      </c>
      <c r="AR712" s="100">
        <v>719249492000</v>
      </c>
      <c r="AS712" s="100">
        <v>40203296136</v>
      </c>
      <c r="AT712" s="103">
        <v>78179956136</v>
      </c>
      <c r="AU712" s="55">
        <f t="shared" si="473"/>
        <v>25438906</v>
      </c>
      <c r="AV712" s="99">
        <f t="shared" si="481"/>
        <v>15920794434.6</v>
      </c>
    </row>
    <row r="713" spans="1:48" ht="15">
      <c r="A713" s="28">
        <v>44720</v>
      </c>
      <c r="B713" s="56">
        <v>95226125000</v>
      </c>
      <c r="C713" s="56"/>
      <c r="D713" s="56"/>
      <c r="E713" s="56"/>
      <c r="F713" s="65">
        <f t="shared" si="438"/>
        <v>95226125000</v>
      </c>
      <c r="G713" s="65">
        <f t="shared" si="474"/>
        <v>25711054</v>
      </c>
      <c r="H713" s="58">
        <f>J713-I713</f>
        <v>11772012000</v>
      </c>
      <c r="I713" s="57">
        <v>6768300000</v>
      </c>
      <c r="J713" s="57">
        <v>18540312000</v>
      </c>
      <c r="K713" s="57"/>
      <c r="L713" s="58">
        <f>N713-M713</f>
        <v>4280167000</v>
      </c>
      <c r="M713" s="57">
        <v>2937000000</v>
      </c>
      <c r="N713" s="150">
        <v>7217167000</v>
      </c>
      <c r="O713" s="58">
        <f>Q713-P713</f>
        <v>469589000</v>
      </c>
      <c r="P713" s="57"/>
      <c r="Q713" s="57">
        <v>469589000</v>
      </c>
      <c r="R713" s="58">
        <f>T713-S713</f>
        <v>1085925000</v>
      </c>
      <c r="S713" s="57"/>
      <c r="T713" s="57">
        <v>1085925000</v>
      </c>
      <c r="U713" s="58">
        <f>W713-V713</f>
        <v>77620000</v>
      </c>
      <c r="V713" s="57"/>
      <c r="W713" s="150">
        <v>77620000</v>
      </c>
      <c r="X713" s="58">
        <f>Z713-Y713</f>
        <v>482468000</v>
      </c>
      <c r="Y713" s="121"/>
      <c r="Z713" s="57">
        <f>264843000+217625000</f>
        <v>482468000</v>
      </c>
      <c r="AA713" s="121"/>
      <c r="AB713" s="121"/>
      <c r="AC713" s="121"/>
      <c r="AD713" s="121"/>
      <c r="AE713" s="121"/>
      <c r="AF713" s="121"/>
      <c r="AG713" s="121"/>
      <c r="AH713" s="121"/>
      <c r="AI713" s="121"/>
      <c r="AJ713" s="121">
        <f t="shared" si="429"/>
        <v>3709074</v>
      </c>
      <c r="AK713" s="59">
        <f>2519300*0.3</f>
        <v>755790</v>
      </c>
      <c r="AL713" s="54">
        <v>44720</v>
      </c>
      <c r="AM713" s="60">
        <v>637</v>
      </c>
      <c r="AN713" s="34">
        <v>7096650</v>
      </c>
      <c r="AO713" s="125">
        <f t="shared" ref="AO713:AO734" si="482">AM713*2700</f>
        <v>1719900</v>
      </c>
      <c r="AP713" s="59"/>
      <c r="AQ713" s="100">
        <v>40156874000000</v>
      </c>
      <c r="AR713" s="100">
        <v>341370000000</v>
      </c>
      <c r="AS713" s="100">
        <v>38782696782</v>
      </c>
      <c r="AT713" s="103">
        <v>134008821782</v>
      </c>
      <c r="AU713" s="55">
        <f t="shared" si="473"/>
        <v>38992468</v>
      </c>
      <c r="AV713" s="99">
        <f t="shared" si="481"/>
        <v>15959786902.6</v>
      </c>
    </row>
    <row r="714" spans="1:48" ht="15">
      <c r="A714" s="28">
        <v>44721</v>
      </c>
      <c r="B714" s="118">
        <v>45909405000</v>
      </c>
      <c r="C714" s="118"/>
      <c r="D714" s="118"/>
      <c r="E714" s="118"/>
      <c r="F714" s="120">
        <f t="shared" si="438"/>
        <v>45909405000</v>
      </c>
      <c r="G714" s="65">
        <f t="shared" si="474"/>
        <v>12395539</v>
      </c>
      <c r="H714" s="122">
        <f>J714-I714</f>
        <v>14334520000</v>
      </c>
      <c r="I714" s="121"/>
      <c r="J714" s="121">
        <v>14334520000</v>
      </c>
      <c r="K714" s="121"/>
      <c r="L714" s="122">
        <f>N714-M714</f>
        <v>7150620000</v>
      </c>
      <c r="M714" s="121">
        <v>38034500000</v>
      </c>
      <c r="N714" s="151">
        <v>45185120000</v>
      </c>
      <c r="O714" s="122">
        <f>Q714-P714</f>
        <v>484647000</v>
      </c>
      <c r="P714" s="121"/>
      <c r="Q714" s="121">
        <v>484647000</v>
      </c>
      <c r="R714" s="122">
        <f>T714-S714</f>
        <v>1520400000</v>
      </c>
      <c r="S714" s="121"/>
      <c r="T714" s="121">
        <v>1520400000</v>
      </c>
      <c r="U714" s="122">
        <f>W714-V714</f>
        <v>33029000</v>
      </c>
      <c r="V714" s="121"/>
      <c r="W714" s="151">
        <v>33029000</v>
      </c>
      <c r="X714" s="122">
        <f>Z714-Y714</f>
        <v>462349000</v>
      </c>
      <c r="Y714" s="121"/>
      <c r="Z714" s="121">
        <f>217750000+244599000</f>
        <v>462349000</v>
      </c>
      <c r="AA714" s="121"/>
      <c r="AB714" s="121"/>
      <c r="AC714" s="121"/>
      <c r="AD714" s="121"/>
      <c r="AE714" s="121"/>
      <c r="AF714" s="121"/>
      <c r="AG714" s="121"/>
      <c r="AH714" s="121"/>
      <c r="AI714" s="121"/>
      <c r="AJ714" s="121">
        <f t="shared" si="429"/>
        <v>9436651</v>
      </c>
      <c r="AK714" s="124">
        <f>1827200*0.3</f>
        <v>548160</v>
      </c>
      <c r="AL714" s="54">
        <v>44721</v>
      </c>
      <c r="AM714" s="125">
        <v>266</v>
      </c>
      <c r="AN714" s="54">
        <v>6550950</v>
      </c>
      <c r="AO714" s="125">
        <f t="shared" si="482"/>
        <v>718200</v>
      </c>
      <c r="AP714" s="59"/>
      <c r="AQ714" s="101">
        <v>32033168000000</v>
      </c>
      <c r="AR714" s="100">
        <v>292406000000</v>
      </c>
      <c r="AS714" s="101">
        <v>103447780590</v>
      </c>
      <c r="AT714" s="105">
        <v>149357185590</v>
      </c>
      <c r="AU714" s="55">
        <f t="shared" si="473"/>
        <v>29649500</v>
      </c>
      <c r="AV714" s="99">
        <f t="shared" si="481"/>
        <v>15989436402.6</v>
      </c>
    </row>
    <row r="715" spans="1:48" ht="15">
      <c r="A715" s="28">
        <v>44722</v>
      </c>
      <c r="B715" s="65">
        <v>17079860000</v>
      </c>
      <c r="C715" s="65"/>
      <c r="D715" s="65"/>
      <c r="E715" s="65"/>
      <c r="F715" s="65">
        <f t="shared" si="438"/>
        <v>17079860000</v>
      </c>
      <c r="G715" s="65">
        <f t="shared" si="474"/>
        <v>4611562</v>
      </c>
      <c r="H715" s="58">
        <f t="shared" ref="H715:H716" si="483">J715-I715</f>
        <v>18027493000</v>
      </c>
      <c r="I715" s="58"/>
      <c r="J715" s="58">
        <v>18027493000</v>
      </c>
      <c r="K715" s="58"/>
      <c r="L715" s="58">
        <f t="shared" ref="L715:L716" si="484">N715-M715</f>
        <v>6952231000</v>
      </c>
      <c r="M715" s="58">
        <v>4259700000</v>
      </c>
      <c r="N715" s="152">
        <v>11211931000</v>
      </c>
      <c r="O715" s="58">
        <f t="shared" ref="O715:O716" si="485">Q715-P715</f>
        <v>145124000</v>
      </c>
      <c r="P715" s="58"/>
      <c r="Q715" s="58">
        <v>145124000</v>
      </c>
      <c r="R715" s="58">
        <f t="shared" ref="R715:R716" si="486">T715-S715</f>
        <v>620258000</v>
      </c>
      <c r="S715" s="58"/>
      <c r="T715" s="58">
        <v>620258000</v>
      </c>
      <c r="U715" s="58">
        <f t="shared" ref="U715:U716" si="487">W715-V715</f>
        <v>64064000</v>
      </c>
      <c r="V715" s="58"/>
      <c r="W715" s="152">
        <v>64064000</v>
      </c>
      <c r="X715" s="58">
        <f t="shared" ref="X715:X716" si="488">Z715-Y715</f>
        <v>459001000</v>
      </c>
      <c r="Y715" s="122"/>
      <c r="Z715" s="58">
        <v>459001000</v>
      </c>
      <c r="AA715" s="122"/>
      <c r="AB715" s="122"/>
      <c r="AC715" s="122"/>
      <c r="AD715" s="122"/>
      <c r="AE715" s="122"/>
      <c r="AF715" s="122"/>
      <c r="AG715" s="122"/>
      <c r="AH715" s="122"/>
      <c r="AI715" s="122"/>
      <c r="AJ715" s="121">
        <f t="shared" si="429"/>
        <v>3603708</v>
      </c>
      <c r="AK715" s="66">
        <f>1479800*0.3</f>
        <v>443940</v>
      </c>
      <c r="AL715" s="54">
        <v>44722</v>
      </c>
      <c r="AM715" s="116">
        <v>524</v>
      </c>
      <c r="AN715" s="42">
        <v>17342550</v>
      </c>
      <c r="AO715" s="125">
        <f t="shared" si="482"/>
        <v>1414800</v>
      </c>
      <c r="AP715" s="59"/>
      <c r="AQ715" s="102">
        <v>42527554000000</v>
      </c>
      <c r="AR715" s="102">
        <v>160997678000</v>
      </c>
      <c r="AS715" s="102">
        <v>36516876166</v>
      </c>
      <c r="AT715" s="104">
        <v>53596736166</v>
      </c>
      <c r="AU715" s="55">
        <f t="shared" si="473"/>
        <v>27416560</v>
      </c>
      <c r="AV715" s="99">
        <f t="shared" si="481"/>
        <v>16016852962.6</v>
      </c>
    </row>
    <row r="716" spans="1:48" ht="15">
      <c r="A716" s="28">
        <v>44725</v>
      </c>
      <c r="B716" s="56">
        <v>35736920000</v>
      </c>
      <c r="C716" s="56"/>
      <c r="D716" s="56"/>
      <c r="E716" s="56"/>
      <c r="F716" s="65">
        <f t="shared" si="438"/>
        <v>35736920000</v>
      </c>
      <c r="G716" s="65">
        <f t="shared" si="474"/>
        <v>9648968</v>
      </c>
      <c r="H716" s="58">
        <f t="shared" si="483"/>
        <v>21618540000</v>
      </c>
      <c r="I716" s="57"/>
      <c r="J716" s="57">
        <v>21618540000</v>
      </c>
      <c r="K716" s="57"/>
      <c r="L716" s="58">
        <f t="shared" si="484"/>
        <v>2737196000</v>
      </c>
      <c r="M716" s="57">
        <f>27224000000+30642500000</f>
        <v>57866500000</v>
      </c>
      <c r="N716" s="150">
        <v>60603696000</v>
      </c>
      <c r="O716" s="58">
        <f t="shared" si="485"/>
        <v>307227000</v>
      </c>
      <c r="P716" s="57"/>
      <c r="Q716" s="57">
        <v>307227000</v>
      </c>
      <c r="R716" s="58">
        <f t="shared" si="486"/>
        <v>2356413000</v>
      </c>
      <c r="S716" s="57"/>
      <c r="T716" s="57">
        <v>2356413000</v>
      </c>
      <c r="U716" s="58">
        <f t="shared" si="487"/>
        <v>177912000</v>
      </c>
      <c r="V716" s="57"/>
      <c r="W716" s="150">
        <v>177912000</v>
      </c>
      <c r="X716" s="58">
        <f t="shared" si="488"/>
        <v>460176000</v>
      </c>
      <c r="Y716" s="121"/>
      <c r="Z716" s="57">
        <v>460176000</v>
      </c>
      <c r="AA716" s="121"/>
      <c r="AB716" s="121"/>
      <c r="AC716" s="121"/>
      <c r="AD716" s="121"/>
      <c r="AE716" s="121"/>
      <c r="AF716" s="121"/>
      <c r="AG716" s="121"/>
      <c r="AH716" s="121"/>
      <c r="AI716" s="121"/>
      <c r="AJ716" s="121">
        <f t="shared" si="429"/>
        <v>13402976</v>
      </c>
      <c r="AK716" s="59">
        <f>1177900*0.3+300000</f>
        <v>653370</v>
      </c>
      <c r="AL716" s="54">
        <v>44725</v>
      </c>
      <c r="AM716" s="60">
        <v>1055</v>
      </c>
      <c r="AN716" s="34">
        <v>5161200</v>
      </c>
      <c r="AO716" s="125">
        <f t="shared" si="482"/>
        <v>2848500</v>
      </c>
      <c r="AP716" s="124"/>
      <c r="AQ716" s="100">
        <v>45571770000000</v>
      </c>
      <c r="AR716" s="100">
        <v>814441270000</v>
      </c>
      <c r="AS716" s="100">
        <v>144544970255</v>
      </c>
      <c r="AT716" s="103">
        <v>180281890255</v>
      </c>
      <c r="AU716" s="55">
        <f t="shared" si="473"/>
        <v>31715014</v>
      </c>
      <c r="AV716" s="99">
        <f t="shared" si="481"/>
        <v>16048567976.6</v>
      </c>
    </row>
    <row r="717" spans="1:48" ht="15">
      <c r="A717" s="28">
        <v>44726</v>
      </c>
      <c r="B717" s="56">
        <v>98749285000</v>
      </c>
      <c r="C717" s="56">
        <v>21872790000</v>
      </c>
      <c r="D717" s="56"/>
      <c r="E717" s="56"/>
      <c r="F717" s="65">
        <f t="shared" si="438"/>
        <v>120622075000</v>
      </c>
      <c r="G717" s="65">
        <f t="shared" si="474"/>
        <v>32567960</v>
      </c>
      <c r="H717" s="58">
        <f>J717-I717</f>
        <v>5481278000</v>
      </c>
      <c r="I717" s="57">
        <v>2114600000</v>
      </c>
      <c r="J717" s="57">
        <v>7595878000</v>
      </c>
      <c r="K717" s="57"/>
      <c r="L717" s="58">
        <f>N717-M717</f>
        <v>34518000</v>
      </c>
      <c r="M717" s="57">
        <v>12559926200</v>
      </c>
      <c r="N717" s="150">
        <v>12594444200</v>
      </c>
      <c r="O717" s="58">
        <f>Q717-P717</f>
        <v>1008362000</v>
      </c>
      <c r="P717" s="57"/>
      <c r="Q717" s="57">
        <v>1008362000</v>
      </c>
      <c r="R717" s="58">
        <f>T717-S717</f>
        <v>1360047000</v>
      </c>
      <c r="S717" s="57"/>
      <c r="T717" s="57">
        <v>1360047000</v>
      </c>
      <c r="U717" s="58">
        <f>W717-V717</f>
        <v>16977000</v>
      </c>
      <c r="V717" s="57"/>
      <c r="W717" s="150">
        <v>16977000</v>
      </c>
      <c r="X717" s="58">
        <f>Z717-Y717</f>
        <v>435374000</v>
      </c>
      <c r="Y717" s="121"/>
      <c r="Z717" s="57">
        <v>435374000</v>
      </c>
      <c r="AA717" s="121"/>
      <c r="AB717" s="121"/>
      <c r="AC717" s="121"/>
      <c r="AD717" s="121"/>
      <c r="AE717" s="121"/>
      <c r="AF717" s="121"/>
      <c r="AG717" s="121"/>
      <c r="AH717" s="121"/>
      <c r="AI717" s="121"/>
      <c r="AJ717" s="121">
        <f t="shared" si="429"/>
        <v>3541763</v>
      </c>
      <c r="AK717" s="59">
        <f>890600*0.3+500000</f>
        <v>767180</v>
      </c>
      <c r="AL717" s="54">
        <v>44726</v>
      </c>
      <c r="AM717" s="60">
        <v>1942</v>
      </c>
      <c r="AN717" s="34">
        <v>7068600</v>
      </c>
      <c r="AO717" s="125">
        <f t="shared" si="482"/>
        <v>5243400</v>
      </c>
      <c r="AP717" s="59"/>
      <c r="AQ717" s="100">
        <v>34441298000000</v>
      </c>
      <c r="AR717" s="100">
        <v>191085530000</v>
      </c>
      <c r="AS717" s="100">
        <v>36830619448</v>
      </c>
      <c r="AT717" s="103">
        <v>157452694448</v>
      </c>
      <c r="AU717" s="55">
        <f t="shared" si="473"/>
        <v>49188903</v>
      </c>
      <c r="AV717" s="99">
        <f t="shared" si="481"/>
        <v>16097756879.6</v>
      </c>
    </row>
    <row r="718" spans="1:48" ht="15">
      <c r="A718" s="28">
        <v>44727</v>
      </c>
      <c r="B718" s="56">
        <v>89505485000</v>
      </c>
      <c r="C718" s="56">
        <v>32645390000</v>
      </c>
      <c r="D718" s="56"/>
      <c r="E718" s="56"/>
      <c r="F718" s="65">
        <f t="shared" si="438"/>
        <v>122150875000</v>
      </c>
      <c r="G718" s="65">
        <f t="shared" si="474"/>
        <v>32980736</v>
      </c>
      <c r="H718" s="58">
        <f>J718-I718</f>
        <v>15153194000</v>
      </c>
      <c r="I718" s="57">
        <v>100013400000</v>
      </c>
      <c r="J718" s="57">
        <v>115166594000</v>
      </c>
      <c r="K718" s="57"/>
      <c r="L718" s="58">
        <f>N718-M718</f>
        <v>4645654000</v>
      </c>
      <c r="M718" s="57">
        <v>13362500000</v>
      </c>
      <c r="N718" s="150">
        <v>18008154000</v>
      </c>
      <c r="O718" s="58">
        <f>Q718-P718</f>
        <v>2167698000</v>
      </c>
      <c r="P718" s="57"/>
      <c r="Q718" s="57">
        <v>2167698000</v>
      </c>
      <c r="R718" s="58">
        <f>T718-S718</f>
        <v>1134301000</v>
      </c>
      <c r="S718" s="57"/>
      <c r="T718" s="57">
        <v>1134301000</v>
      </c>
      <c r="U718" s="58">
        <f>W718-V718</f>
        <v>688363000</v>
      </c>
      <c r="V718" s="57"/>
      <c r="W718" s="150">
        <v>688363000</v>
      </c>
      <c r="X718" s="58">
        <f>Z718-Y718</f>
        <v>433401000</v>
      </c>
      <c r="Y718" s="121"/>
      <c r="Z718" s="57">
        <v>433401000</v>
      </c>
      <c r="AA718" s="121"/>
      <c r="AB718" s="121"/>
      <c r="AC718" s="121"/>
      <c r="AD718" s="121"/>
      <c r="AE718" s="121"/>
      <c r="AF718" s="121"/>
      <c r="AG718" s="121"/>
      <c r="AH718" s="121"/>
      <c r="AI718" s="121"/>
      <c r="AJ718" s="121">
        <f t="shared" si="429"/>
        <v>23023704</v>
      </c>
      <c r="AK718" s="59">
        <f>1154100*0.3+300000</f>
        <v>646230</v>
      </c>
      <c r="AL718" s="54">
        <v>44727</v>
      </c>
      <c r="AM718" s="60">
        <v>429</v>
      </c>
      <c r="AN718" s="34">
        <v>6760050</v>
      </c>
      <c r="AO718" s="125">
        <f t="shared" si="482"/>
        <v>1158300</v>
      </c>
      <c r="AP718" s="59"/>
      <c r="AQ718" s="100">
        <v>38876868000000</v>
      </c>
      <c r="AR718" s="100">
        <v>313551446000</v>
      </c>
      <c r="AS718" s="100">
        <v>251874564448</v>
      </c>
      <c r="AT718" s="103">
        <v>374025439448</v>
      </c>
      <c r="AU718" s="55">
        <f t="shared" si="473"/>
        <v>64569020</v>
      </c>
      <c r="AV718" s="99">
        <f t="shared" si="481"/>
        <v>16162325899.6</v>
      </c>
    </row>
    <row r="719" spans="1:48" ht="15">
      <c r="A719" s="28">
        <v>44728</v>
      </c>
      <c r="B719" s="118">
        <v>45406560000</v>
      </c>
      <c r="C719" s="118"/>
      <c r="D719" s="118"/>
      <c r="E719" s="118"/>
      <c r="F719" s="120">
        <f t="shared" si="438"/>
        <v>45406560000</v>
      </c>
      <c r="G719" s="65">
        <f t="shared" si="474"/>
        <v>12259771</v>
      </c>
      <c r="H719" s="122">
        <f>J719-I719</f>
        <v>18193888000</v>
      </c>
      <c r="I719" s="121">
        <v>17159000000</v>
      </c>
      <c r="J719" s="121">
        <v>35352888000</v>
      </c>
      <c r="K719" s="121"/>
      <c r="L719" s="122">
        <f>N719-M719</f>
        <v>49150364000</v>
      </c>
      <c r="M719" s="121">
        <v>22462200000</v>
      </c>
      <c r="N719" s="151">
        <v>71612564000</v>
      </c>
      <c r="O719" s="122">
        <f>Q719-P719</f>
        <v>1020246000</v>
      </c>
      <c r="P719" s="121"/>
      <c r="Q719" s="121">
        <v>1020246000</v>
      </c>
      <c r="R719" s="122">
        <f>T719-S719</f>
        <v>2367135000</v>
      </c>
      <c r="S719" s="121"/>
      <c r="T719" s="121">
        <v>2367135000</v>
      </c>
      <c r="U719" s="122">
        <f>W719-V719</f>
        <v>31570000</v>
      </c>
      <c r="V719" s="121"/>
      <c r="W719" s="151">
        <v>31570000</v>
      </c>
      <c r="X719" s="122">
        <f>Z719-Y719</f>
        <v>439406000</v>
      </c>
      <c r="Y719" s="121"/>
      <c r="Z719" s="121">
        <v>439406000</v>
      </c>
      <c r="AA719" s="121"/>
      <c r="AB719" s="121"/>
      <c r="AC719" s="121"/>
      <c r="AD719" s="121"/>
      <c r="AE719" s="121"/>
      <c r="AF719" s="121"/>
      <c r="AG719" s="121"/>
      <c r="AH719" s="121"/>
      <c r="AI719" s="121"/>
      <c r="AJ719" s="121">
        <f t="shared" si="429"/>
        <v>14821698</v>
      </c>
      <c r="AK719" s="124">
        <f>1240200*0.3+300000</f>
        <v>672060</v>
      </c>
      <c r="AL719" s="54">
        <v>44728</v>
      </c>
      <c r="AM719" s="125">
        <v>1045</v>
      </c>
      <c r="AN719" s="54">
        <v>2613750</v>
      </c>
      <c r="AO719" s="125">
        <f t="shared" si="482"/>
        <v>2821500</v>
      </c>
      <c r="AP719" s="59"/>
      <c r="AQ719" s="101">
        <v>35045056000000</v>
      </c>
      <c r="AR719" s="100">
        <v>293532148000</v>
      </c>
      <c r="AS719" s="101">
        <v>165369773514</v>
      </c>
      <c r="AT719" s="105">
        <v>210776333514</v>
      </c>
      <c r="AU719" s="55">
        <f t="shared" si="473"/>
        <v>33188779</v>
      </c>
      <c r="AV719" s="99">
        <f t="shared" si="481"/>
        <v>16195514678.6</v>
      </c>
    </row>
    <row r="720" spans="1:48" ht="15">
      <c r="A720" s="28">
        <v>44729</v>
      </c>
      <c r="B720" s="65">
        <v>35581895000</v>
      </c>
      <c r="C720" s="65">
        <v>15494935000</v>
      </c>
      <c r="D720" s="65"/>
      <c r="E720" s="65"/>
      <c r="F720" s="65">
        <f t="shared" si="438"/>
        <v>51076830000</v>
      </c>
      <c r="G720" s="65">
        <f t="shared" si="474"/>
        <v>13790744</v>
      </c>
      <c r="H720" s="58">
        <f t="shared" ref="H720:H721" si="489">J720-I720</f>
        <v>19777438000</v>
      </c>
      <c r="I720" s="58">
        <v>17787250000</v>
      </c>
      <c r="J720" s="58">
        <v>37564688000</v>
      </c>
      <c r="K720" s="58"/>
      <c r="L720" s="58">
        <f t="shared" ref="L720:L721" si="490">N720-M720</f>
        <v>30440277000</v>
      </c>
      <c r="M720" s="58">
        <v>32910000000</v>
      </c>
      <c r="N720" s="152">
        <v>63350277000</v>
      </c>
      <c r="O720" s="58">
        <f t="shared" ref="O720:O721" si="491">Q720-P720</f>
        <v>268609000</v>
      </c>
      <c r="P720" s="58"/>
      <c r="Q720" s="58">
        <v>268609000</v>
      </c>
      <c r="R720" s="58">
        <f t="shared" ref="R720:R721" si="492">T720-S720</f>
        <v>1801559000</v>
      </c>
      <c r="S720" s="58"/>
      <c r="T720" s="58">
        <v>1801559000</v>
      </c>
      <c r="U720" s="58">
        <f t="shared" ref="U720:U721" si="493">W720-V720</f>
        <v>274771000</v>
      </c>
      <c r="V720" s="58"/>
      <c r="W720" s="152">
        <v>274771000</v>
      </c>
      <c r="X720" s="58">
        <f t="shared" ref="X720:X721" si="494">Z720-Y720</f>
        <v>452754000</v>
      </c>
      <c r="Y720" s="122"/>
      <c r="Z720" s="58">
        <v>452754000</v>
      </c>
      <c r="AA720" s="122"/>
      <c r="AB720" s="122"/>
      <c r="AC720" s="122"/>
      <c r="AD720" s="122"/>
      <c r="AE720" s="122"/>
      <c r="AF720" s="122"/>
      <c r="AG720" s="122"/>
      <c r="AH720" s="122"/>
      <c r="AI720" s="122"/>
      <c r="AJ720" s="121">
        <f t="shared" si="429"/>
        <v>14851169</v>
      </c>
      <c r="AK720" s="66">
        <f>1631000*0.3+300000</f>
        <v>789300</v>
      </c>
      <c r="AL720" s="54">
        <v>44729</v>
      </c>
      <c r="AM720" s="116">
        <v>1009</v>
      </c>
      <c r="AN720" s="42">
        <f>1074*2550*3</f>
        <v>8216100</v>
      </c>
      <c r="AO720" s="125">
        <f t="shared" si="482"/>
        <v>2724300</v>
      </c>
      <c r="AP720" s="59"/>
      <c r="AQ720" s="102">
        <v>40850410000000</v>
      </c>
      <c r="AR720" s="102">
        <v>333405870000</v>
      </c>
      <c r="AS720" s="102">
        <v>158005232485</v>
      </c>
      <c r="AT720" s="104">
        <v>209082062485</v>
      </c>
      <c r="AU720" s="55">
        <f t="shared" si="473"/>
        <v>40371613</v>
      </c>
      <c r="AV720" s="99">
        <f t="shared" si="481"/>
        <v>16235886291.6</v>
      </c>
    </row>
    <row r="721" spans="1:48" ht="15">
      <c r="A721" s="28">
        <v>44732</v>
      </c>
      <c r="B721" s="56">
        <v>124201926000</v>
      </c>
      <c r="C721" s="56">
        <v>27374325000</v>
      </c>
      <c r="D721" s="56"/>
      <c r="E721" s="56"/>
      <c r="F721" s="65">
        <f t="shared" si="438"/>
        <v>151576251000</v>
      </c>
      <c r="G721" s="65">
        <f t="shared" si="474"/>
        <v>40925588</v>
      </c>
      <c r="H721" s="58">
        <f t="shared" si="489"/>
        <v>9039854000</v>
      </c>
      <c r="I721" s="57"/>
      <c r="J721" s="57">
        <v>9039854000</v>
      </c>
      <c r="K721" s="57"/>
      <c r="L721" s="58">
        <f t="shared" si="490"/>
        <v>7155430000</v>
      </c>
      <c r="M721" s="57">
        <v>10884000000</v>
      </c>
      <c r="N721" s="150">
        <v>18039430000</v>
      </c>
      <c r="O721" s="58">
        <f t="shared" si="491"/>
        <v>258883000</v>
      </c>
      <c r="P721" s="57"/>
      <c r="Q721" s="57">
        <v>258883000</v>
      </c>
      <c r="R721" s="58">
        <f t="shared" si="492"/>
        <v>1451295000</v>
      </c>
      <c r="S721" s="57"/>
      <c r="T721" s="57">
        <v>1451295000</v>
      </c>
      <c r="U721" s="58">
        <f t="shared" si="493"/>
        <v>252496000</v>
      </c>
      <c r="V721" s="57"/>
      <c r="W721" s="150">
        <v>252496000</v>
      </c>
      <c r="X721" s="58">
        <f t="shared" si="494"/>
        <v>436598000</v>
      </c>
      <c r="Y721" s="121"/>
      <c r="Z721" s="57">
        <v>436598000</v>
      </c>
      <c r="AA721" s="121"/>
      <c r="AB721" s="121"/>
      <c r="AC721" s="121"/>
      <c r="AD721" s="121"/>
      <c r="AE721" s="121"/>
      <c r="AF721" s="121"/>
      <c r="AG721" s="121"/>
      <c r="AH721" s="121"/>
      <c r="AI721" s="121"/>
      <c r="AJ721" s="121">
        <f>3967332+182131</f>
        <v>4149463</v>
      </c>
      <c r="AK721" s="59">
        <f>1556800*0.3+500000</f>
        <v>967040</v>
      </c>
      <c r="AL721" s="54">
        <v>44732</v>
      </c>
      <c r="AM721" s="60">
        <v>1399</v>
      </c>
      <c r="AN721" s="34">
        <f>1809*2550</f>
        <v>4612950</v>
      </c>
      <c r="AO721" s="125">
        <f t="shared" si="482"/>
        <v>3777300</v>
      </c>
      <c r="AP721" s="124"/>
      <c r="AQ721" s="100">
        <v>37051794000000</v>
      </c>
      <c r="AR721" s="100">
        <v>121864000000</v>
      </c>
      <c r="AS721" s="100">
        <v>41245740995</v>
      </c>
      <c r="AT721" s="103">
        <v>192821992000</v>
      </c>
      <c r="AU721" s="55">
        <f t="shared" si="473"/>
        <v>54432341</v>
      </c>
      <c r="AV721" s="99">
        <f t="shared" si="481"/>
        <v>16290318632.6</v>
      </c>
    </row>
    <row r="722" spans="1:48" ht="15">
      <c r="A722" s="28">
        <v>44733</v>
      </c>
      <c r="B722" s="56">
        <v>95994981000</v>
      </c>
      <c r="C722" s="56"/>
      <c r="D722" s="56"/>
      <c r="E722" s="56"/>
      <c r="F722" s="65">
        <f t="shared" si="438"/>
        <v>95994981000</v>
      </c>
      <c r="G722" s="65">
        <f t="shared" si="474"/>
        <v>25918645</v>
      </c>
      <c r="H722" s="58">
        <f>J722-I722</f>
        <v>3942763000</v>
      </c>
      <c r="I722" s="57">
        <v>32159200000</v>
      </c>
      <c r="J722" s="57">
        <f>33048019000+3053944000</f>
        <v>36101963000</v>
      </c>
      <c r="K722" s="57"/>
      <c r="L722" s="58">
        <f>N722-M722</f>
        <v>16026000000</v>
      </c>
      <c r="M722" s="57">
        <v>13451000000</v>
      </c>
      <c r="N722" s="150">
        <v>29477000000</v>
      </c>
      <c r="O722" s="58">
        <f>Q722-P722</f>
        <v>4852783000</v>
      </c>
      <c r="P722" s="57"/>
      <c r="Q722" s="57">
        <v>4852783000</v>
      </c>
      <c r="R722" s="58">
        <f>T722-S722</f>
        <v>950542000</v>
      </c>
      <c r="S722" s="57"/>
      <c r="T722" s="57">
        <v>950542000</v>
      </c>
      <c r="U722" s="58">
        <f>W722-V722</f>
        <v>116882000</v>
      </c>
      <c r="V722" s="57"/>
      <c r="W722" s="150">
        <v>116882000</v>
      </c>
      <c r="X722" s="58">
        <f>Z722-Y722</f>
        <v>412426000</v>
      </c>
      <c r="Y722" s="121"/>
      <c r="Z722" s="57">
        <v>412426000</v>
      </c>
      <c r="AA722" s="121"/>
      <c r="AB722" s="121"/>
      <c r="AC722" s="121"/>
      <c r="AD722" s="121"/>
      <c r="AE722" s="121"/>
      <c r="AF722" s="121"/>
      <c r="AG722" s="121"/>
      <c r="AH722" s="121"/>
      <c r="AI722" s="121"/>
      <c r="AJ722" s="121">
        <f t="shared" ref="AJ722:AJ753" si="495">ROUND(H722*0.0108%+I722*0.018%+K722*0.018%+L722*0.0108%+M722*0.018%+O722*0.0108%+P722*0.018%+R722*0.0108%+S722*0.018%+V722*0.018%+U722*0.0108%+X722*0.0108%+Y722*0.018%,0)</f>
        <v>11050387</v>
      </c>
      <c r="AK722" s="59">
        <f>1210900*0.3+300000</f>
        <v>663270</v>
      </c>
      <c r="AL722" s="54">
        <v>44733</v>
      </c>
      <c r="AM722" s="60">
        <v>1139</v>
      </c>
      <c r="AN722" s="34">
        <f>2098*2550</f>
        <v>5349900</v>
      </c>
      <c r="AO722" s="125">
        <f t="shared" si="482"/>
        <v>3075300</v>
      </c>
      <c r="AP722" s="59"/>
      <c r="AQ722" s="100">
        <v>37480220000000</v>
      </c>
      <c r="AR722" s="100">
        <v>261338256000</v>
      </c>
      <c r="AS722" s="100">
        <v>115342754109</v>
      </c>
      <c r="AT722" s="103">
        <v>211337735109</v>
      </c>
      <c r="AU722" s="55">
        <f t="shared" si="473"/>
        <v>46057502</v>
      </c>
      <c r="AV722" s="99">
        <f t="shared" si="481"/>
        <v>16336376134.6</v>
      </c>
    </row>
    <row r="723" spans="1:48" ht="15">
      <c r="A723" s="28">
        <v>44734</v>
      </c>
      <c r="B723" s="56">
        <v>42991248000</v>
      </c>
      <c r="C723" s="56"/>
      <c r="D723" s="56"/>
      <c r="E723" s="56"/>
      <c r="F723" s="65">
        <f t="shared" si="438"/>
        <v>42991248000</v>
      </c>
      <c r="G723" s="65">
        <f t="shared" si="474"/>
        <v>11607637</v>
      </c>
      <c r="H723" s="58">
        <f>J723-I723</f>
        <v>5616390000</v>
      </c>
      <c r="I723" s="57">
        <v>4145000000</v>
      </c>
      <c r="J723" s="57">
        <v>9761390000</v>
      </c>
      <c r="K723" s="57"/>
      <c r="L723" s="58">
        <f>N723-M723</f>
        <v>15274139000</v>
      </c>
      <c r="M723" s="57">
        <v>71005000000</v>
      </c>
      <c r="N723" s="150">
        <v>86279139000</v>
      </c>
      <c r="O723" s="58">
        <f>Q723-P723</f>
        <v>6156888000</v>
      </c>
      <c r="P723" s="57"/>
      <c r="Q723" s="57">
        <v>6156888000</v>
      </c>
      <c r="R723" s="58">
        <f>T723-S723</f>
        <v>1817726000</v>
      </c>
      <c r="S723" s="57"/>
      <c r="T723" s="57">
        <v>1817726000</v>
      </c>
      <c r="U723" s="58">
        <f>W723-V723</f>
        <v>139702000</v>
      </c>
      <c r="V723" s="57"/>
      <c r="W723" s="150">
        <v>139702000</v>
      </c>
      <c r="X723" s="58">
        <f>Z723-Y723</f>
        <v>427748000</v>
      </c>
      <c r="Y723" s="121"/>
      <c r="Z723" s="57">
        <v>427748000</v>
      </c>
      <c r="AA723" s="121"/>
      <c r="AB723" s="121"/>
      <c r="AC723" s="121"/>
      <c r="AD723" s="121"/>
      <c r="AE723" s="121"/>
      <c r="AF723" s="121"/>
      <c r="AG723" s="121"/>
      <c r="AH723" s="121"/>
      <c r="AI723" s="121"/>
      <c r="AJ723" s="121">
        <f t="shared" si="495"/>
        <v>16705720</v>
      </c>
      <c r="AK723" s="59">
        <f>941100*0.3+300000</f>
        <v>582330</v>
      </c>
      <c r="AL723" s="54">
        <v>44734</v>
      </c>
      <c r="AM723" s="60">
        <v>1035</v>
      </c>
      <c r="AN723" s="34">
        <f>1875*2550</f>
        <v>4781250</v>
      </c>
      <c r="AO723" s="125">
        <f t="shared" si="482"/>
        <v>2794500</v>
      </c>
      <c r="AP723" s="59"/>
      <c r="AQ723" s="100">
        <v>32068004000000</v>
      </c>
      <c r="AR723" s="100">
        <v>345367828000</v>
      </c>
      <c r="AS723" s="100">
        <v>180603137250</v>
      </c>
      <c r="AT723" s="103">
        <v>223594385250</v>
      </c>
      <c r="AU723" s="55">
        <f t="shared" si="473"/>
        <v>36471437</v>
      </c>
      <c r="AV723" s="99">
        <f t="shared" si="481"/>
        <v>16372847571.6</v>
      </c>
    </row>
    <row r="724" spans="1:48" ht="15">
      <c r="A724" s="28">
        <v>44735</v>
      </c>
      <c r="B724" s="118">
        <v>37987925000</v>
      </c>
      <c r="C724" s="118">
        <v>12095120000</v>
      </c>
      <c r="D724" s="118"/>
      <c r="E724" s="118">
        <v>2663920000</v>
      </c>
      <c r="F724" s="120">
        <f t="shared" si="438"/>
        <v>52746965000</v>
      </c>
      <c r="G724" s="65">
        <f t="shared" si="474"/>
        <v>14241681</v>
      </c>
      <c r="H724" s="122">
        <f>J724-I724</f>
        <v>0</v>
      </c>
      <c r="I724" s="121">
        <v>29152022500</v>
      </c>
      <c r="J724" s="121">
        <v>29152022500</v>
      </c>
      <c r="K724" s="121"/>
      <c r="L724" s="122">
        <f>N724-M724</f>
        <v>12797738000</v>
      </c>
      <c r="M724" s="121">
        <v>18408500000</v>
      </c>
      <c r="N724" s="151">
        <v>31206238000</v>
      </c>
      <c r="O724" s="122">
        <f>Q724-P724</f>
        <v>1445165000</v>
      </c>
      <c r="P724" s="121"/>
      <c r="Q724" s="121">
        <v>1445165000</v>
      </c>
      <c r="R724" s="122">
        <f>T724-S724</f>
        <v>786330000</v>
      </c>
      <c r="S724" s="121"/>
      <c r="T724" s="121">
        <v>786330000</v>
      </c>
      <c r="U724" s="122">
        <f>W724-V724</f>
        <v>327480000</v>
      </c>
      <c r="V724" s="121"/>
      <c r="W724" s="151">
        <v>327480000</v>
      </c>
      <c r="X724" s="122">
        <f>Z724-Y724</f>
        <v>405027000</v>
      </c>
      <c r="Y724" s="121">
        <v>29199600000</v>
      </c>
      <c r="Z724" s="121">
        <v>29604627000</v>
      </c>
      <c r="AA724" s="121"/>
      <c r="AB724" s="121"/>
      <c r="AC724" s="121"/>
      <c r="AD724" s="121"/>
      <c r="AE724" s="121"/>
      <c r="AF724" s="121"/>
      <c r="AG724" s="121"/>
      <c r="AH724" s="121"/>
      <c r="AI724" s="121"/>
      <c r="AJ724" s="121">
        <f t="shared" si="495"/>
        <v>15519090</v>
      </c>
      <c r="AK724" s="124">
        <f>(978300+209400)*0.3+300000</f>
        <v>656310</v>
      </c>
      <c r="AL724" s="54">
        <v>44735</v>
      </c>
      <c r="AM724" s="125">
        <v>267</v>
      </c>
      <c r="AN724" s="54">
        <f>1670*2550</f>
        <v>4258500</v>
      </c>
      <c r="AO724" s="125">
        <f t="shared" si="482"/>
        <v>720900</v>
      </c>
      <c r="AP724" s="59"/>
      <c r="AQ724" s="101">
        <v>24657240000000</v>
      </c>
      <c r="AR724" s="100">
        <v>283731042000</v>
      </c>
      <c r="AS724" s="101">
        <v>173199510777</v>
      </c>
      <c r="AT724" s="105">
        <v>217851425777</v>
      </c>
      <c r="AU724" s="55">
        <f t="shared" si="473"/>
        <v>35396481</v>
      </c>
      <c r="AV724" s="99">
        <f t="shared" si="481"/>
        <v>16408244052.6</v>
      </c>
    </row>
    <row r="725" spans="1:48" ht="15">
      <c r="A725" s="28">
        <v>44736</v>
      </c>
      <c r="B725" s="65">
        <v>63741920000</v>
      </c>
      <c r="C725" s="65">
        <v>33512455000</v>
      </c>
      <c r="D725" s="65"/>
      <c r="E725" s="65"/>
      <c r="F725" s="65">
        <f t="shared" si="438"/>
        <v>97254375000</v>
      </c>
      <c r="G725" s="65">
        <f t="shared" si="474"/>
        <v>26258681</v>
      </c>
      <c r="H725" s="58">
        <f t="shared" ref="H725:H726" si="496">J725-I725</f>
        <v>358016000</v>
      </c>
      <c r="I725" s="58"/>
      <c r="J725" s="58">
        <v>358016000</v>
      </c>
      <c r="K725" s="58"/>
      <c r="L725" s="58">
        <f t="shared" ref="L725:L726" si="497">N725-M725</f>
        <v>20116721000</v>
      </c>
      <c r="M725" s="58">
        <v>2698500000</v>
      </c>
      <c r="N725" s="152">
        <v>22815221000</v>
      </c>
      <c r="O725" s="58">
        <f t="shared" ref="O725:O726" si="498">Q725-P725</f>
        <v>111413000</v>
      </c>
      <c r="P725" s="58"/>
      <c r="Q725" s="58">
        <v>111413000</v>
      </c>
      <c r="R725" s="58">
        <f t="shared" ref="R725:R726" si="499">T725-S725</f>
        <v>652500000</v>
      </c>
      <c r="S725" s="58"/>
      <c r="T725" s="58">
        <v>652500000</v>
      </c>
      <c r="U725" s="58">
        <f t="shared" ref="U725:U726" si="500">W725-V725</f>
        <v>3055000</v>
      </c>
      <c r="V725" s="58"/>
      <c r="W725" s="152">
        <v>3055000</v>
      </c>
      <c r="X725" s="58">
        <f t="shared" ref="X725:X726" si="501">Z725-Y725</f>
        <v>416427000</v>
      </c>
      <c r="Y725" s="122"/>
      <c r="Z725" s="58">
        <v>416427000</v>
      </c>
      <c r="AA725" s="122"/>
      <c r="AB725" s="122"/>
      <c r="AC725" s="122"/>
      <c r="AD725" s="122"/>
      <c r="AE725" s="122"/>
      <c r="AF725" s="122"/>
      <c r="AG725" s="122"/>
      <c r="AH725" s="122"/>
      <c r="AI725" s="122"/>
      <c r="AJ725" s="121">
        <f t="shared" si="495"/>
        <v>2824808</v>
      </c>
      <c r="AK725" s="66">
        <f>1120300*0.3+464820</f>
        <v>800910</v>
      </c>
      <c r="AL725" s="54">
        <v>44736</v>
      </c>
      <c r="AM725" s="116">
        <v>755</v>
      </c>
      <c r="AN725" s="42">
        <f>2149*2550*3</f>
        <v>16439850</v>
      </c>
      <c r="AO725" s="125">
        <f t="shared" si="482"/>
        <v>2038500</v>
      </c>
      <c r="AP725" s="59"/>
      <c r="AQ725" s="102">
        <v>24045834000000</v>
      </c>
      <c r="AR725" s="102">
        <v>69037884000</v>
      </c>
      <c r="AS725" s="102">
        <v>28662467555</v>
      </c>
      <c r="AT725" s="104">
        <v>125916842555</v>
      </c>
      <c r="AU725" s="55">
        <f t="shared" si="473"/>
        <v>48362749</v>
      </c>
      <c r="AV725" s="99">
        <f t="shared" si="481"/>
        <v>16456606801.6</v>
      </c>
    </row>
    <row r="726" spans="1:48" ht="15">
      <c r="A726" s="28">
        <v>44739</v>
      </c>
      <c r="B726" s="56">
        <v>21596955000</v>
      </c>
      <c r="C726" s="56">
        <v>3517150000</v>
      </c>
      <c r="D726" s="56"/>
      <c r="E726" s="56">
        <v>12829080000</v>
      </c>
      <c r="F726" s="65">
        <f t="shared" si="438"/>
        <v>37943185000</v>
      </c>
      <c r="G726" s="65">
        <v>10244662</v>
      </c>
      <c r="H726" s="58">
        <f t="shared" si="496"/>
        <v>531949000</v>
      </c>
      <c r="I726" s="57"/>
      <c r="J726" s="57">
        <v>531949000</v>
      </c>
      <c r="K726" s="57"/>
      <c r="L726" s="58">
        <f t="shared" si="497"/>
        <v>8582871000</v>
      </c>
      <c r="M726" s="57">
        <v>4076100000</v>
      </c>
      <c r="N726" s="150">
        <v>12658971000</v>
      </c>
      <c r="O726" s="58">
        <f t="shared" si="498"/>
        <v>423694000</v>
      </c>
      <c r="P726" s="57"/>
      <c r="Q726" s="57">
        <v>423694000</v>
      </c>
      <c r="R726" s="58">
        <f t="shared" si="499"/>
        <v>799703000</v>
      </c>
      <c r="S726" s="57"/>
      <c r="T726" s="57">
        <v>799703000</v>
      </c>
      <c r="U726" s="58">
        <f t="shared" si="500"/>
        <v>135133000</v>
      </c>
      <c r="V726" s="57"/>
      <c r="W726" s="150">
        <v>135133000</v>
      </c>
      <c r="X726" s="58">
        <f t="shared" si="501"/>
        <v>411398000</v>
      </c>
      <c r="Y726" s="121"/>
      <c r="Z726" s="57">
        <v>411398000</v>
      </c>
      <c r="AA726" s="121"/>
      <c r="AB726" s="121"/>
      <c r="AC726" s="121"/>
      <c r="AD726" s="121"/>
      <c r="AE726" s="121"/>
      <c r="AF726" s="121"/>
      <c r="AG726" s="121"/>
      <c r="AH726" s="121"/>
      <c r="AI726" s="121"/>
      <c r="AJ726" s="121">
        <f t="shared" si="495"/>
        <v>1909251</v>
      </c>
      <c r="AK726" s="59">
        <f>990300*0.3+500000</f>
        <v>797090</v>
      </c>
      <c r="AL726" s="54">
        <v>44739</v>
      </c>
      <c r="AM726" s="60">
        <v>165</v>
      </c>
      <c r="AN726" s="34">
        <f>2050*2550+563550</f>
        <v>5791050</v>
      </c>
      <c r="AO726" s="125">
        <f t="shared" si="482"/>
        <v>445500</v>
      </c>
      <c r="AP726" s="124"/>
      <c r="AQ726" s="100">
        <v>28303152000000</v>
      </c>
      <c r="AR726" s="100">
        <v>65973762000</v>
      </c>
      <c r="AS726" s="100">
        <v>19916248475</v>
      </c>
      <c r="AT726" s="103">
        <v>57859433475</v>
      </c>
      <c r="AU726" s="55">
        <f t="shared" si="473"/>
        <v>19187553</v>
      </c>
      <c r="AV726" s="99">
        <f t="shared" si="481"/>
        <v>16475794354.6</v>
      </c>
    </row>
    <row r="727" spans="1:48" ht="15">
      <c r="A727" s="28">
        <v>44740</v>
      </c>
      <c r="B727" s="56">
        <v>68906530000</v>
      </c>
      <c r="C727" s="56">
        <v>12280940000</v>
      </c>
      <c r="D727" s="56"/>
      <c r="E727" s="56"/>
      <c r="F727" s="65">
        <f t="shared" si="438"/>
        <v>81187470000</v>
      </c>
      <c r="G727" s="65">
        <f t="shared" si="474"/>
        <v>21920617</v>
      </c>
      <c r="H727" s="58">
        <f>J727-I727</f>
        <v>4954146000</v>
      </c>
      <c r="I727" s="57"/>
      <c r="J727" s="57">
        <v>4954146000</v>
      </c>
      <c r="K727" s="57"/>
      <c r="L727" s="58">
        <f>N727-M727</f>
        <v>22059240000</v>
      </c>
      <c r="M727" s="57"/>
      <c r="N727" s="150">
        <v>22059240000</v>
      </c>
      <c r="O727" s="58">
        <f>Q727-P727</f>
        <v>1073485000</v>
      </c>
      <c r="P727" s="57"/>
      <c r="Q727" s="57">
        <v>1073485000</v>
      </c>
      <c r="R727" s="58">
        <f>T727-S727</f>
        <v>727906000</v>
      </c>
      <c r="S727" s="57"/>
      <c r="T727" s="57">
        <v>727906000</v>
      </c>
      <c r="U727" s="58">
        <f>W727-V727</f>
        <v>7846000</v>
      </c>
      <c r="V727" s="57"/>
      <c r="W727" s="150">
        <v>7846000</v>
      </c>
      <c r="X727" s="58">
        <f>Z727-Y727</f>
        <v>424732000</v>
      </c>
      <c r="Y727" s="121"/>
      <c r="Z727" s="57">
        <v>424732000</v>
      </c>
      <c r="AA727" s="121"/>
      <c r="AB727" s="121"/>
      <c r="AC727" s="121"/>
      <c r="AD727" s="121"/>
      <c r="AE727" s="121"/>
      <c r="AF727" s="121"/>
      <c r="AG727" s="121"/>
      <c r="AH727" s="121"/>
      <c r="AI727" s="121"/>
      <c r="AJ727" s="121">
        <f t="shared" si="495"/>
        <v>3158714</v>
      </c>
      <c r="AK727" s="59">
        <f>2461400*0.3</f>
        <v>738420</v>
      </c>
      <c r="AL727" s="54">
        <v>44740</v>
      </c>
      <c r="AM727" s="60">
        <v>637</v>
      </c>
      <c r="AN727" s="34">
        <f>1887*2550</f>
        <v>4811850</v>
      </c>
      <c r="AO727" s="125">
        <f t="shared" si="482"/>
        <v>1719900</v>
      </c>
      <c r="AP727" s="59">
        <v>1600000</v>
      </c>
      <c r="AQ727" s="100">
        <v>33817011200000</v>
      </c>
      <c r="AR727" s="100">
        <v>125331368000</v>
      </c>
      <c r="AS727" s="100">
        <v>30133456616</v>
      </c>
      <c r="AT727" s="103">
        <v>111320926616</v>
      </c>
      <c r="AU727" s="55">
        <f t="shared" si="473"/>
        <v>33949501</v>
      </c>
      <c r="AV727" s="99">
        <f t="shared" si="481"/>
        <v>16509743855.6</v>
      </c>
    </row>
    <row r="728" spans="1:48" ht="15">
      <c r="A728" s="28">
        <v>44741</v>
      </c>
      <c r="B728" s="56">
        <v>105807330000</v>
      </c>
      <c r="C728" s="56">
        <v>36087870000</v>
      </c>
      <c r="D728" s="56"/>
      <c r="E728" s="56"/>
      <c r="F728" s="65">
        <f t="shared" si="438"/>
        <v>141895200000</v>
      </c>
      <c r="G728" s="65">
        <f t="shared" si="474"/>
        <v>38311704</v>
      </c>
      <c r="H728" s="58">
        <f>J728-I728</f>
        <v>371876000</v>
      </c>
      <c r="I728" s="57">
        <v>4288100000</v>
      </c>
      <c r="J728" s="57">
        <v>4659976000</v>
      </c>
      <c r="K728" s="57"/>
      <c r="L728" s="58">
        <f>N728-M728</f>
        <v>18086097000</v>
      </c>
      <c r="M728" s="57">
        <v>9627500000</v>
      </c>
      <c r="N728" s="150">
        <v>27713597000</v>
      </c>
      <c r="O728" s="58">
        <f>Q728-P728</f>
        <v>250505000</v>
      </c>
      <c r="P728" s="57"/>
      <c r="Q728" s="57">
        <v>250505000</v>
      </c>
      <c r="R728" s="58">
        <f>T728-S728</f>
        <v>2916943000</v>
      </c>
      <c r="S728" s="57"/>
      <c r="T728" s="57">
        <v>2916943000</v>
      </c>
      <c r="U728" s="58">
        <f>W728-V728</f>
        <v>1560000</v>
      </c>
      <c r="V728" s="57"/>
      <c r="W728" s="150">
        <v>1560000</v>
      </c>
      <c r="X728" s="58">
        <f>Z728-Y728</f>
        <v>461256000</v>
      </c>
      <c r="Y728" s="121"/>
      <c r="Z728" s="57">
        <v>461256000</v>
      </c>
      <c r="AA728" s="121"/>
      <c r="AB728" s="121"/>
      <c r="AC728" s="121"/>
      <c r="AD728" s="121"/>
      <c r="AE728" s="121"/>
      <c r="AF728" s="121"/>
      <c r="AG728" s="121"/>
      <c r="AH728" s="121"/>
      <c r="AI728" s="121"/>
      <c r="AJ728" s="121">
        <f t="shared" si="495"/>
        <v>4890338</v>
      </c>
      <c r="AK728" s="59">
        <f>3324500*0.3</f>
        <v>997350</v>
      </c>
      <c r="AL728" s="54">
        <v>44741</v>
      </c>
      <c r="AM728" s="60">
        <v>1145</v>
      </c>
      <c r="AN728" s="34">
        <f>1500*2550</f>
        <v>3825000</v>
      </c>
      <c r="AO728" s="125">
        <f t="shared" si="482"/>
        <v>3091500</v>
      </c>
      <c r="AP728" s="59">
        <v>19548725</v>
      </c>
      <c r="AQ728" s="100">
        <v>28034898000000</v>
      </c>
      <c r="AR728" s="100">
        <v>138660780000</v>
      </c>
      <c r="AS728" s="100">
        <v>50815538228</v>
      </c>
      <c r="AT728" s="103">
        <v>192710738228</v>
      </c>
      <c r="AU728" s="55">
        <f t="shared" si="473"/>
        <v>70664617</v>
      </c>
      <c r="AV728" s="99">
        <f t="shared" si="481"/>
        <v>16580408472.6</v>
      </c>
    </row>
    <row r="729" spans="1:48" ht="15">
      <c r="A729" s="28">
        <v>44742</v>
      </c>
      <c r="B729" s="118">
        <v>58770420000</v>
      </c>
      <c r="C729" s="118"/>
      <c r="D729" s="118"/>
      <c r="E729" s="118"/>
      <c r="F729" s="120">
        <f t="shared" si="438"/>
        <v>58770420000</v>
      </c>
      <c r="G729" s="65">
        <f t="shared" si="474"/>
        <v>15868013</v>
      </c>
      <c r="H729" s="122">
        <f>J729-I729</f>
        <v>20176569000</v>
      </c>
      <c r="I729" s="121"/>
      <c r="J729" s="121">
        <v>20176569000</v>
      </c>
      <c r="K729" s="121"/>
      <c r="L729" s="122">
        <f>N729-M729</f>
        <v>19675894000</v>
      </c>
      <c r="M729" s="121"/>
      <c r="N729" s="151">
        <v>19675894000</v>
      </c>
      <c r="O729" s="122">
        <f>Q729-P729</f>
        <v>442590000</v>
      </c>
      <c r="P729" s="121"/>
      <c r="Q729" s="121">
        <v>442590000</v>
      </c>
      <c r="R729" s="122">
        <f>T729-S729</f>
        <v>833797000</v>
      </c>
      <c r="S729" s="121"/>
      <c r="T729" s="121">
        <v>833797000</v>
      </c>
      <c r="U729" s="122">
        <f>W729-V729</f>
        <v>33004000</v>
      </c>
      <c r="V729" s="121"/>
      <c r="W729" s="151">
        <v>33004000</v>
      </c>
      <c r="X729" s="122">
        <f>Z729-Y729</f>
        <v>417608000</v>
      </c>
      <c r="Y729" s="121"/>
      <c r="Z729" s="121">
        <v>417608000</v>
      </c>
      <c r="AA729" s="121"/>
      <c r="AB729" s="121"/>
      <c r="AC729" s="121"/>
      <c r="AD729" s="121"/>
      <c r="AE729" s="121"/>
      <c r="AF729" s="121"/>
      <c r="AG729" s="121"/>
      <c r="AH729" s="121"/>
      <c r="AI729" s="121"/>
      <c r="AJ729" s="121">
        <f t="shared" si="495"/>
        <v>4490582</v>
      </c>
      <c r="AK729" s="124">
        <f>1580300*0.3</f>
        <v>474090</v>
      </c>
      <c r="AL729" s="54">
        <v>44742</v>
      </c>
      <c r="AM729" s="125">
        <v>3583</v>
      </c>
      <c r="AN729" s="54">
        <f>2173*2550</f>
        <v>5541150</v>
      </c>
      <c r="AO729" s="125">
        <f t="shared" si="482"/>
        <v>9674100</v>
      </c>
      <c r="AP729" s="59">
        <v>27750085</v>
      </c>
      <c r="AQ729" s="101">
        <v>26161316000000</v>
      </c>
      <c r="AR729" s="100">
        <v>76054228414</v>
      </c>
      <c r="AS729" s="101">
        <v>42791993488</v>
      </c>
      <c r="AT729" s="105">
        <v>97702063488</v>
      </c>
      <c r="AU729" s="55">
        <f t="shared" si="473"/>
        <v>63798020</v>
      </c>
      <c r="AV729" s="99">
        <f t="shared" si="481"/>
        <v>16644206492.6</v>
      </c>
    </row>
    <row r="730" spans="1:48" ht="15">
      <c r="A730" s="28">
        <v>44743</v>
      </c>
      <c r="B730" s="65">
        <v>47097428000</v>
      </c>
      <c r="C730" s="65"/>
      <c r="D730" s="65"/>
      <c r="E730" s="65"/>
      <c r="F730" s="65">
        <f t="shared" si="438"/>
        <v>47097428000</v>
      </c>
      <c r="G730" s="65">
        <f t="shared" si="474"/>
        <v>12716306</v>
      </c>
      <c r="H730" s="58">
        <f t="shared" ref="H730:H731" si="502">J730-I730</f>
        <v>4171000</v>
      </c>
      <c r="I730" s="58">
        <v>4220800000</v>
      </c>
      <c r="J730" s="58">
        <v>4224971000</v>
      </c>
      <c r="K730" s="58"/>
      <c r="L730" s="58">
        <f t="shared" ref="L730:L731" si="503">N730-M730</f>
        <v>21919557000</v>
      </c>
      <c r="M730" s="58">
        <f>121901000000+6504000000</f>
        <v>128405000000</v>
      </c>
      <c r="N730" s="152">
        <v>150324557000</v>
      </c>
      <c r="O730" s="58">
        <f t="shared" ref="O730:O731" si="504">Q730-P730</f>
        <v>151350000</v>
      </c>
      <c r="P730" s="58"/>
      <c r="Q730" s="58">
        <v>151350000</v>
      </c>
      <c r="R730" s="58">
        <f t="shared" ref="R730:R731" si="505">T730-S730</f>
        <v>2648477000</v>
      </c>
      <c r="S730" s="58"/>
      <c r="T730" s="58">
        <v>2648477000</v>
      </c>
      <c r="U730" s="58">
        <f t="shared" ref="U730:U731" si="506">W730-V730</f>
        <v>4626000</v>
      </c>
      <c r="V730" s="58"/>
      <c r="W730" s="152">
        <v>4626000</v>
      </c>
      <c r="X730" s="58">
        <f t="shared" ref="X730:X731" si="507">Z730-Y730</f>
        <v>810000</v>
      </c>
      <c r="Y730" s="122">
        <v>8180000000</v>
      </c>
      <c r="Z730" s="58">
        <v>8180810000</v>
      </c>
      <c r="AA730" s="122"/>
      <c r="AB730" s="122"/>
      <c r="AC730" s="122"/>
      <c r="AD730" s="122"/>
      <c r="AE730" s="122"/>
      <c r="AF730" s="122"/>
      <c r="AG730" s="122"/>
      <c r="AH730" s="122"/>
      <c r="AI730" s="122"/>
      <c r="AJ730" s="121">
        <f t="shared" si="495"/>
        <v>28015775</v>
      </c>
      <c r="AK730" s="66">
        <f>170100*0.3+300000</f>
        <v>351030</v>
      </c>
      <c r="AL730" s="54">
        <v>44713</v>
      </c>
      <c r="AM730" s="116">
        <v>3087</v>
      </c>
      <c r="AN730" s="42">
        <f>968*2550*3</f>
        <v>7405200</v>
      </c>
      <c r="AO730" s="125">
        <f t="shared" si="482"/>
        <v>8334900</v>
      </c>
      <c r="AP730" s="59"/>
      <c r="AQ730" s="102">
        <v>27380684000000</v>
      </c>
      <c r="AR730" s="102">
        <v>516053828000</v>
      </c>
      <c r="AS730" s="102">
        <v>299613964317</v>
      </c>
      <c r="AT730" s="104">
        <v>346711392317</v>
      </c>
      <c r="AU730" s="55">
        <f t="shared" si="473"/>
        <v>56823211</v>
      </c>
      <c r="AV730" s="99">
        <f t="shared" ref="AV730:AV734" si="508">AV729+AU730</f>
        <v>16701029703.6</v>
      </c>
    </row>
    <row r="731" spans="1:48" ht="15">
      <c r="A731" s="28">
        <v>44746</v>
      </c>
      <c r="B731" s="56">
        <v>34625119000</v>
      </c>
      <c r="C731" s="56">
        <v>7374805000</v>
      </c>
      <c r="D731" s="56"/>
      <c r="E731" s="56"/>
      <c r="F731" s="65">
        <f t="shared" si="438"/>
        <v>41999924000</v>
      </c>
      <c r="G731" s="65">
        <f t="shared" si="474"/>
        <v>11339979</v>
      </c>
      <c r="H731" s="58">
        <f t="shared" si="502"/>
        <v>1516020000</v>
      </c>
      <c r="I731" s="57">
        <f>2103600000+4235800000</f>
        <v>6339400000</v>
      </c>
      <c r="J731" s="57">
        <v>7855420000</v>
      </c>
      <c r="K731" s="57"/>
      <c r="L731" s="58">
        <f t="shared" si="503"/>
        <v>13661680000</v>
      </c>
      <c r="M731" s="57">
        <v>8092500000</v>
      </c>
      <c r="N731" s="150">
        <v>21754180000</v>
      </c>
      <c r="O731" s="58">
        <f t="shared" si="504"/>
        <v>504180000</v>
      </c>
      <c r="P731" s="57"/>
      <c r="Q731" s="57">
        <v>504180000</v>
      </c>
      <c r="R731" s="58">
        <f t="shared" si="505"/>
        <v>2109312000</v>
      </c>
      <c r="S731" s="57"/>
      <c r="T731" s="57">
        <v>2109312000</v>
      </c>
      <c r="U731" s="58">
        <f t="shared" si="506"/>
        <v>174766000</v>
      </c>
      <c r="V731" s="57"/>
      <c r="W731" s="150">
        <v>174766000</v>
      </c>
      <c r="X731" s="58">
        <f t="shared" si="507"/>
        <v>437874000</v>
      </c>
      <c r="Y731" s="121"/>
      <c r="Z731" s="57">
        <v>437874000</v>
      </c>
      <c r="AA731" s="121"/>
      <c r="AB731" s="121"/>
      <c r="AC731" s="121"/>
      <c r="AD731" s="121"/>
      <c r="AE731" s="121"/>
      <c r="AF731" s="121"/>
      <c r="AG731" s="121"/>
      <c r="AH731" s="121"/>
      <c r="AI731" s="121"/>
      <c r="AJ731" s="121">
        <f t="shared" si="495"/>
        <v>4585356</v>
      </c>
      <c r="AK731" s="59">
        <f>1192900*0.3</f>
        <v>357870</v>
      </c>
      <c r="AL731" s="54">
        <v>44746</v>
      </c>
      <c r="AM731" s="60">
        <v>480</v>
      </c>
      <c r="AN731" s="34">
        <f>938*2550</f>
        <v>2391900</v>
      </c>
      <c r="AO731" s="125">
        <f t="shared" si="482"/>
        <v>1296000</v>
      </c>
      <c r="AP731" s="124"/>
      <c r="AQ731" s="100">
        <v>22907460000000</v>
      </c>
      <c r="AR731" s="100">
        <v>103784472000</v>
      </c>
      <c r="AS731" s="100">
        <v>48333913798</v>
      </c>
      <c r="AT731" s="103">
        <v>90333837798</v>
      </c>
      <c r="AU731" s="55">
        <f t="shared" si="473"/>
        <v>19971105</v>
      </c>
      <c r="AV731" s="99">
        <f t="shared" si="508"/>
        <v>16721000808.6</v>
      </c>
    </row>
    <row r="732" spans="1:48" ht="15">
      <c r="A732" s="28">
        <v>44747</v>
      </c>
      <c r="B732" s="56">
        <v>45786000000</v>
      </c>
      <c r="C732" s="56">
        <v>79832880000</v>
      </c>
      <c r="D732" s="56"/>
      <c r="E732" s="56"/>
      <c r="F732" s="65">
        <f t="shared" si="438"/>
        <v>125618880000</v>
      </c>
      <c r="G732" s="65">
        <f t="shared" si="474"/>
        <v>33917098</v>
      </c>
      <c r="H732" s="58">
        <f>J732-I732</f>
        <v>5858570000</v>
      </c>
      <c r="I732" s="57"/>
      <c r="J732" s="57">
        <v>5858570000</v>
      </c>
      <c r="K732" s="57"/>
      <c r="L732" s="58">
        <f>N732-M732</f>
        <v>28512651000</v>
      </c>
      <c r="M732" s="57">
        <v>10659000000</v>
      </c>
      <c r="N732" s="150">
        <v>39171651000</v>
      </c>
      <c r="O732" s="58">
        <f>Q732-P732</f>
        <v>408170000</v>
      </c>
      <c r="P732" s="57"/>
      <c r="Q732" s="57">
        <v>408170000</v>
      </c>
      <c r="R732" s="58">
        <f>T732-S732</f>
        <v>793376000</v>
      </c>
      <c r="S732" s="57"/>
      <c r="T732" s="57">
        <v>793376000</v>
      </c>
      <c r="U732" s="58">
        <f>W732-V732</f>
        <v>304609000</v>
      </c>
      <c r="V732" s="57"/>
      <c r="W732" s="150">
        <v>304609000</v>
      </c>
      <c r="X732" s="58">
        <f>Z732-Y732</f>
        <v>428314000</v>
      </c>
      <c r="Y732" s="121">
        <v>26108800000</v>
      </c>
      <c r="Z732" s="57">
        <v>26537114000</v>
      </c>
      <c r="AA732" s="121"/>
      <c r="AB732" s="121"/>
      <c r="AC732" s="121"/>
      <c r="AD732" s="121"/>
      <c r="AE732" s="121"/>
      <c r="AF732" s="121"/>
      <c r="AG732" s="121"/>
      <c r="AH732" s="121"/>
      <c r="AI732" s="121"/>
      <c r="AJ732" s="121">
        <f t="shared" si="495"/>
        <v>10539219</v>
      </c>
      <c r="AK732" s="59">
        <f>919900*0.3+300000</f>
        <v>575970</v>
      </c>
      <c r="AL732" s="54">
        <v>44747</v>
      </c>
      <c r="AM732" s="60">
        <v>1227</v>
      </c>
      <c r="AN732" s="34">
        <f>1903*2550</f>
        <v>4852650</v>
      </c>
      <c r="AO732" s="125">
        <f t="shared" si="482"/>
        <v>3312900</v>
      </c>
      <c r="AP732" s="59"/>
      <c r="AQ732" s="100">
        <v>31800844000000</v>
      </c>
      <c r="AR732" s="100">
        <v>270781646000</v>
      </c>
      <c r="AS732" s="100">
        <v>110725681606</v>
      </c>
      <c r="AT732" s="103">
        <v>236344561606</v>
      </c>
      <c r="AU732" s="55">
        <f t="shared" si="473"/>
        <v>53197837</v>
      </c>
      <c r="AV732" s="99">
        <f t="shared" si="508"/>
        <v>16774198645.6</v>
      </c>
    </row>
    <row r="733" spans="1:48" ht="15">
      <c r="A733" s="28">
        <v>44748</v>
      </c>
      <c r="B733" s="56">
        <v>42877105000</v>
      </c>
      <c r="C733" s="56"/>
      <c r="D733" s="56">
        <v>4697595000</v>
      </c>
      <c r="E733" s="56">
        <f>2677005000+12890385000</f>
        <v>15567390000</v>
      </c>
      <c r="F733" s="65">
        <f t="shared" si="438"/>
        <v>63142090000</v>
      </c>
      <c r="G733" s="65">
        <f t="shared" si="474"/>
        <v>17048364</v>
      </c>
      <c r="H733" s="58">
        <f>J733-I733</f>
        <v>1210116000</v>
      </c>
      <c r="I733" s="57">
        <f>2054000000+2081000000</f>
        <v>4135000000</v>
      </c>
      <c r="J733" s="57">
        <v>5345116000</v>
      </c>
      <c r="K733" s="57"/>
      <c r="L733" s="58">
        <f>N733-M733</f>
        <v>50232427000</v>
      </c>
      <c r="M733" s="57">
        <v>10521700000</v>
      </c>
      <c r="N733" s="150">
        <v>60754127000</v>
      </c>
      <c r="O733" s="58">
        <f>Q733-P733</f>
        <v>654486000</v>
      </c>
      <c r="P733" s="57"/>
      <c r="Q733" s="57">
        <v>654486000</v>
      </c>
      <c r="R733" s="58">
        <f>T733-S733</f>
        <v>4200803000</v>
      </c>
      <c r="S733" s="57"/>
      <c r="T733" s="57">
        <v>4200803000</v>
      </c>
      <c r="U733" s="58">
        <f>W733-V733</f>
        <v>121717000</v>
      </c>
      <c r="V733" s="57"/>
      <c r="W733" s="150">
        <v>121717000</v>
      </c>
      <c r="X733" s="58">
        <f>Z733-Y733</f>
        <v>461986000</v>
      </c>
      <c r="Y733" s="121"/>
      <c r="Z733" s="57">
        <v>461986000</v>
      </c>
      <c r="AA733" s="121"/>
      <c r="AB733" s="121"/>
      <c r="AC733" s="121"/>
      <c r="AD733" s="121"/>
      <c r="AE733" s="121"/>
      <c r="AF733" s="121"/>
      <c r="AG733" s="121"/>
      <c r="AH733" s="121"/>
      <c r="AI733" s="121"/>
      <c r="AJ733" s="121">
        <f t="shared" si="495"/>
        <v>8781412</v>
      </c>
      <c r="AK733" s="59">
        <f>866700*0.3</f>
        <v>260010</v>
      </c>
      <c r="AL733" s="54">
        <v>44748</v>
      </c>
      <c r="AM733" s="60">
        <v>1004</v>
      </c>
      <c r="AN733" s="34">
        <f>2645*2550</f>
        <v>6744750</v>
      </c>
      <c r="AO733" s="125">
        <f t="shared" si="482"/>
        <v>2710800</v>
      </c>
      <c r="AP733" s="59"/>
      <c r="AQ733" s="100">
        <v>30140074000000</v>
      </c>
      <c r="AR733" s="100">
        <v>737981422000</v>
      </c>
      <c r="AS733" s="100">
        <v>87141940661</v>
      </c>
      <c r="AT733" s="103">
        <v>150284030661</v>
      </c>
      <c r="AU733" s="55">
        <f t="shared" si="473"/>
        <v>35545336</v>
      </c>
      <c r="AV733" s="99">
        <f t="shared" si="508"/>
        <v>16809743981.6</v>
      </c>
    </row>
    <row r="734" spans="1:48" ht="15">
      <c r="A734" s="28">
        <v>44749</v>
      </c>
      <c r="B734" s="118">
        <v>34846537000</v>
      </c>
      <c r="C734" s="118"/>
      <c r="D734" s="118"/>
      <c r="E734" s="118"/>
      <c r="F734" s="120">
        <f t="shared" si="438"/>
        <v>34846537000</v>
      </c>
      <c r="G734" s="65">
        <f t="shared" si="474"/>
        <v>9408565</v>
      </c>
      <c r="H734" s="122">
        <f>J734-I734</f>
        <v>5158093000</v>
      </c>
      <c r="I734" s="121">
        <v>2060000000</v>
      </c>
      <c r="J734" s="121">
        <f>1019634000+6198459000</f>
        <v>7218093000</v>
      </c>
      <c r="K734" s="121"/>
      <c r="L734" s="122">
        <f>N734-M734</f>
        <v>17411839000</v>
      </c>
      <c r="M734" s="121">
        <v>23169900000</v>
      </c>
      <c r="N734" s="151">
        <f>10952453000+29629286000</f>
        <v>40581739000</v>
      </c>
      <c r="O734" s="122">
        <f>Q734-P734</f>
        <v>1563802000</v>
      </c>
      <c r="P734" s="121"/>
      <c r="Q734" s="121">
        <f>171754000+1392048000</f>
        <v>1563802000</v>
      </c>
      <c r="R734" s="122">
        <f>T734-S734</f>
        <v>1071986000</v>
      </c>
      <c r="S734" s="121"/>
      <c r="T734" s="121">
        <v>1071986000</v>
      </c>
      <c r="U734" s="122">
        <f>W734-V734</f>
        <v>6095000</v>
      </c>
      <c r="V734" s="121"/>
      <c r="W734" s="151">
        <v>6095000</v>
      </c>
      <c r="X734" s="122">
        <f>Z734-Y734</f>
        <v>5595000</v>
      </c>
      <c r="Y734" s="121"/>
      <c r="Z734" s="121">
        <f>791000+4804000</f>
        <v>5595000</v>
      </c>
      <c r="AA734" s="121"/>
      <c r="AB734" s="121"/>
      <c r="AC734" s="121"/>
      <c r="AD734" s="121"/>
      <c r="AE734" s="121"/>
      <c r="AF734" s="121"/>
      <c r="AG734" s="121"/>
      <c r="AH734" s="121"/>
      <c r="AI734" s="121"/>
      <c r="AJ734" s="121">
        <f t="shared" si="495"/>
        <v>7264862</v>
      </c>
      <c r="AK734" s="59">
        <f>2017000*0.3</f>
        <v>605100</v>
      </c>
      <c r="AL734" s="54">
        <v>44749</v>
      </c>
      <c r="AM734" s="125">
        <v>2401</v>
      </c>
      <c r="AN734" s="54">
        <f>2401*2550+335*2550</f>
        <v>6976800</v>
      </c>
      <c r="AO734" s="125">
        <f t="shared" si="482"/>
        <v>6482700</v>
      </c>
      <c r="AP734" s="59"/>
      <c r="AQ734" s="101">
        <v>20761966000000</v>
      </c>
      <c r="AR734" s="100">
        <v>200478000000</v>
      </c>
      <c r="AS734" s="101">
        <v>73645566919</v>
      </c>
      <c r="AT734" s="105">
        <v>108492103000</v>
      </c>
      <c r="AU734" s="55">
        <f t="shared" si="473"/>
        <v>30738027</v>
      </c>
      <c r="AV734" s="99">
        <f t="shared" si="508"/>
        <v>16840482008.6</v>
      </c>
    </row>
    <row r="735" spans="1:48" ht="15">
      <c r="A735" s="28">
        <v>44750</v>
      </c>
      <c r="B735" s="65">
        <v>14673029756</v>
      </c>
      <c r="C735" s="65"/>
      <c r="D735" s="65"/>
      <c r="E735" s="65"/>
      <c r="F735" s="65">
        <f t="shared" ref="F735:F741" si="509">SUM(B735:E735)</f>
        <v>14673029756</v>
      </c>
      <c r="G735" s="65">
        <f t="shared" si="474"/>
        <v>3961718</v>
      </c>
      <c r="H735" s="58">
        <f t="shared" ref="H735:H736" si="510">J735-I735</f>
        <v>839992000</v>
      </c>
      <c r="I735" s="58"/>
      <c r="J735" s="58">
        <v>839992000</v>
      </c>
      <c r="K735" s="58"/>
      <c r="L735" s="58">
        <f t="shared" ref="L735:L736" si="511">N735-M735</f>
        <v>11841374000</v>
      </c>
      <c r="M735" s="58">
        <v>10446000000</v>
      </c>
      <c r="N735" s="152">
        <v>22287374000</v>
      </c>
      <c r="O735" s="58">
        <f t="shared" ref="O735:O736" si="512">Q735-P735</f>
        <v>651427000</v>
      </c>
      <c r="P735" s="58"/>
      <c r="Q735" s="58">
        <v>651427000</v>
      </c>
      <c r="R735" s="58">
        <f t="shared" ref="R735:R736" si="513">T735-S735</f>
        <v>797749000</v>
      </c>
      <c r="S735" s="58"/>
      <c r="T735" s="58">
        <v>797749000</v>
      </c>
      <c r="U735" s="58">
        <f t="shared" ref="U735:U736" si="514">W735-V735</f>
        <v>149489000</v>
      </c>
      <c r="V735" s="58"/>
      <c r="W735" s="152">
        <v>149489000</v>
      </c>
      <c r="X735" s="58">
        <f t="shared" ref="X735:X736" si="515">Z735-Y735</f>
        <v>428552000</v>
      </c>
      <c r="Y735" s="122"/>
      <c r="Z735" s="58">
        <v>428552000</v>
      </c>
      <c r="AA735" s="122"/>
      <c r="AB735" s="122"/>
      <c r="AC735" s="122"/>
      <c r="AD735" s="122"/>
      <c r="AE735" s="122"/>
      <c r="AF735" s="122"/>
      <c r="AG735" s="122"/>
      <c r="AH735" s="122"/>
      <c r="AI735" s="122"/>
      <c r="AJ735" s="121">
        <f t="shared" si="495"/>
        <v>3468807</v>
      </c>
      <c r="AK735" s="66">
        <v>334470</v>
      </c>
      <c r="AL735" s="54">
        <v>44750</v>
      </c>
      <c r="AM735" s="116">
        <v>207</v>
      </c>
      <c r="AN735" s="42">
        <v>19867050</v>
      </c>
      <c r="AO735" s="125">
        <f t="shared" ref="AO735:AO741" si="516">AM735*2700</f>
        <v>558900</v>
      </c>
      <c r="AP735" s="59"/>
      <c r="AQ735" s="102">
        <v>23987576000000</v>
      </c>
      <c r="AR735" s="102">
        <v>125540000000</v>
      </c>
      <c r="AS735" s="102">
        <v>37914959244</v>
      </c>
      <c r="AT735" s="104">
        <v>52587989000</v>
      </c>
      <c r="AU735" s="55">
        <f t="shared" si="473"/>
        <v>28190945</v>
      </c>
      <c r="AV735" s="99">
        <f t="shared" ref="AV735:AV750" si="517">AV734+AU735</f>
        <v>16868672953.6</v>
      </c>
    </row>
    <row r="736" spans="1:48" ht="15">
      <c r="A736" s="28">
        <v>44753</v>
      </c>
      <c r="B736" s="56">
        <v>33721535000</v>
      </c>
      <c r="C736" s="56">
        <v>3537020000</v>
      </c>
      <c r="D736" s="56"/>
      <c r="E736" s="56">
        <v>2628475000</v>
      </c>
      <c r="F736" s="65">
        <f t="shared" si="509"/>
        <v>39887030000</v>
      </c>
      <c r="G736" s="65">
        <f t="shared" si="474"/>
        <v>10769498</v>
      </c>
      <c r="H736" s="58">
        <f t="shared" si="510"/>
        <v>6711317000</v>
      </c>
      <c r="I736" s="57"/>
      <c r="J736" s="57">
        <v>6711317000</v>
      </c>
      <c r="K736" s="57"/>
      <c r="L736" s="58">
        <f t="shared" si="511"/>
        <v>19680106000</v>
      </c>
      <c r="M736" s="57">
        <v>15446000000</v>
      </c>
      <c r="N736" s="150">
        <v>35126106000</v>
      </c>
      <c r="O736" s="58">
        <f t="shared" si="512"/>
        <v>808100000</v>
      </c>
      <c r="P736" s="57"/>
      <c r="Q736" s="57">
        <v>808100000</v>
      </c>
      <c r="R736" s="58">
        <f t="shared" si="513"/>
        <v>1102011000</v>
      </c>
      <c r="S736" s="57"/>
      <c r="T736" s="57">
        <v>1102011000</v>
      </c>
      <c r="U736" s="58">
        <f t="shared" si="514"/>
        <v>60240000</v>
      </c>
      <c r="V736" s="57"/>
      <c r="W736" s="150">
        <v>60240000</v>
      </c>
      <c r="X736" s="58">
        <f t="shared" si="515"/>
        <v>419941000</v>
      </c>
      <c r="Y736" s="121"/>
      <c r="Z736" s="57">
        <v>419941000</v>
      </c>
      <c r="AA736" s="121"/>
      <c r="AB736" s="121"/>
      <c r="AC736" s="121"/>
      <c r="AD736" s="121"/>
      <c r="AE736" s="121"/>
      <c r="AF736" s="121"/>
      <c r="AG736" s="121"/>
      <c r="AH736" s="121"/>
      <c r="AI736" s="121"/>
      <c r="AJ736" s="121">
        <f t="shared" si="495"/>
        <v>5888705</v>
      </c>
      <c r="AK736" s="59">
        <f>1080000*0.3</f>
        <v>324000</v>
      </c>
      <c r="AL736" s="54">
        <v>44753</v>
      </c>
      <c r="AM736" s="60">
        <v>546</v>
      </c>
      <c r="AN736" s="34">
        <f>6811050+76500</f>
        <v>6887550</v>
      </c>
      <c r="AO736" s="125">
        <f t="shared" si="516"/>
        <v>1474200</v>
      </c>
      <c r="AP736" s="124"/>
      <c r="AQ736" s="100">
        <v>26122240000000</v>
      </c>
      <c r="AR736" s="100">
        <v>112164842000</v>
      </c>
      <c r="AS736" s="100">
        <v>60700436852</v>
      </c>
      <c r="AT736" s="103">
        <v>100587466852</v>
      </c>
      <c r="AU736" s="55">
        <f t="shared" si="473"/>
        <v>25343953</v>
      </c>
      <c r="AV736" s="99">
        <f t="shared" si="517"/>
        <v>16894016906.6</v>
      </c>
    </row>
    <row r="737" spans="1:48" ht="15">
      <c r="A737" s="28">
        <v>44754</v>
      </c>
      <c r="B737" s="56">
        <v>17302820000</v>
      </c>
      <c r="C737" s="56"/>
      <c r="D737" s="56"/>
      <c r="E737" s="56"/>
      <c r="F737" s="65">
        <f t="shared" si="509"/>
        <v>17302820000</v>
      </c>
      <c r="G737" s="65">
        <f t="shared" si="474"/>
        <v>4671761</v>
      </c>
      <c r="H737" s="58">
        <f>J737-I737</f>
        <v>4309243000</v>
      </c>
      <c r="I737" s="57">
        <v>4076800000</v>
      </c>
      <c r="J737" s="57">
        <v>8386043000</v>
      </c>
      <c r="K737" s="57"/>
      <c r="L737" s="58">
        <f>N737-M737</f>
        <v>38618154000</v>
      </c>
      <c r="M737" s="57">
        <v>25485500000</v>
      </c>
      <c r="N737" s="150">
        <v>64103654000</v>
      </c>
      <c r="O737" s="58">
        <f>Q737-P737</f>
        <v>648303000</v>
      </c>
      <c r="P737" s="57"/>
      <c r="Q737" s="57">
        <v>648303000</v>
      </c>
      <c r="R737" s="58">
        <f>T737-S737</f>
        <v>901964000</v>
      </c>
      <c r="S737" s="57"/>
      <c r="T737" s="57">
        <v>901964000</v>
      </c>
      <c r="U737" s="58">
        <f>W737-V737</f>
        <v>91623000</v>
      </c>
      <c r="V737" s="57"/>
      <c r="W737" s="150">
        <v>91623000</v>
      </c>
      <c r="X737" s="58">
        <f>Z737-Y737</f>
        <v>407973000</v>
      </c>
      <c r="Y737" s="121"/>
      <c r="Z737" s="57">
        <v>407973000</v>
      </c>
      <c r="AA737" s="121"/>
      <c r="AB737" s="121"/>
      <c r="AC737" s="121"/>
      <c r="AD737" s="121"/>
      <c r="AE737" s="121"/>
      <c r="AF737" s="121"/>
      <c r="AG737" s="121"/>
      <c r="AH737" s="121"/>
      <c r="AI737" s="121"/>
      <c r="AJ737" s="121">
        <f t="shared" si="495"/>
        <v>10178758</v>
      </c>
      <c r="AK737" s="59">
        <v>515340</v>
      </c>
      <c r="AL737" s="54">
        <v>44754</v>
      </c>
      <c r="AM737" s="60">
        <v>414</v>
      </c>
      <c r="AN737" s="34">
        <v>7132350</v>
      </c>
      <c r="AO737" s="125">
        <f t="shared" si="516"/>
        <v>1117800</v>
      </c>
      <c r="AP737" s="59"/>
      <c r="AQ737" s="100">
        <v>25092554000000</v>
      </c>
      <c r="AR737" s="100">
        <v>221604188000</v>
      </c>
      <c r="AS737" s="100">
        <v>104958961242</v>
      </c>
      <c r="AT737" s="103">
        <v>122261781242</v>
      </c>
      <c r="AU737" s="55">
        <f t="shared" si="473"/>
        <v>23616009</v>
      </c>
      <c r="AV737" s="99">
        <f t="shared" si="517"/>
        <v>16917632915.6</v>
      </c>
    </row>
    <row r="738" spans="1:48" ht="15">
      <c r="A738" s="28">
        <v>44755</v>
      </c>
      <c r="B738" s="56">
        <v>70182865000</v>
      </c>
      <c r="C738" s="56"/>
      <c r="D738" s="56"/>
      <c r="E738" s="56"/>
      <c r="F738" s="65">
        <f t="shared" si="509"/>
        <v>70182865000</v>
      </c>
      <c r="G738" s="65">
        <f t="shared" si="474"/>
        <v>18949374</v>
      </c>
      <c r="H738" s="58">
        <f>J738-I738</f>
        <v>15688660000</v>
      </c>
      <c r="I738" s="57"/>
      <c r="J738" s="57">
        <v>15688660000</v>
      </c>
      <c r="K738" s="57"/>
      <c r="L738" s="58">
        <f>N738-M738</f>
        <v>35935279000</v>
      </c>
      <c r="M738" s="57"/>
      <c r="N738" s="150">
        <v>35935279000</v>
      </c>
      <c r="O738" s="58">
        <f>Q738-P738</f>
        <v>149798000</v>
      </c>
      <c r="P738" s="57"/>
      <c r="Q738" s="57">
        <v>149798000</v>
      </c>
      <c r="R738" s="58">
        <f>T738-S738</f>
        <v>813919000</v>
      </c>
      <c r="S738" s="57"/>
      <c r="T738" s="57">
        <v>813919000</v>
      </c>
      <c r="U738" s="58">
        <f>W738-V738</f>
        <v>97936000</v>
      </c>
      <c r="V738" s="57"/>
      <c r="W738" s="150">
        <v>97936000</v>
      </c>
      <c r="X738" s="58">
        <f>Z738-Y738</f>
        <v>423741000</v>
      </c>
      <c r="Y738" s="121"/>
      <c r="Z738" s="57">
        <v>423741000</v>
      </c>
      <c r="AA738" s="121"/>
      <c r="AB738" s="121"/>
      <c r="AC738" s="121"/>
      <c r="AD738" s="121"/>
      <c r="AE738" s="121"/>
      <c r="AF738" s="121"/>
      <c r="AG738" s="121"/>
      <c r="AH738" s="121"/>
      <c r="AI738" s="121"/>
      <c r="AJ738" s="121">
        <f t="shared" si="495"/>
        <v>5735808</v>
      </c>
      <c r="AK738" s="59">
        <f>912240+44400</f>
        <v>956640</v>
      </c>
      <c r="AL738" s="54">
        <v>44755</v>
      </c>
      <c r="AM738" s="60">
        <v>1261</v>
      </c>
      <c r="AN738" s="34">
        <v>5324400</v>
      </c>
      <c r="AO738" s="125">
        <f t="shared" si="516"/>
        <v>3404700</v>
      </c>
      <c r="AP738" s="59"/>
      <c r="AQ738" s="100">
        <v>27211754000000</v>
      </c>
      <c r="AR738" s="100">
        <v>612476622000</v>
      </c>
      <c r="AS738" s="100">
        <v>92700493840</v>
      </c>
      <c r="AT738" s="103">
        <v>162883358840</v>
      </c>
      <c r="AU738" s="55">
        <f t="shared" ref="AU738:AU749" si="518">G738+AJ738+AK738+AN738+AO738+AP738</f>
        <v>34370922</v>
      </c>
      <c r="AV738" s="99">
        <f t="shared" si="517"/>
        <v>16952003837.6</v>
      </c>
    </row>
    <row r="739" spans="1:48" ht="15">
      <c r="A739" s="28">
        <v>44756</v>
      </c>
      <c r="B739" s="118">
        <v>32685965000</v>
      </c>
      <c r="C739" s="118"/>
      <c r="D739" s="118"/>
      <c r="E739" s="118"/>
      <c r="F739" s="120">
        <f t="shared" si="509"/>
        <v>32685965000</v>
      </c>
      <c r="G739" s="65">
        <f t="shared" si="474"/>
        <v>8825211</v>
      </c>
      <c r="H739" s="122">
        <f>J739-I739</f>
        <v>19675985000</v>
      </c>
      <c r="I739" s="121"/>
      <c r="J739" s="121">
        <v>19675985000</v>
      </c>
      <c r="K739" s="121"/>
      <c r="L739" s="122">
        <f>N739-M739</f>
        <v>16078474000</v>
      </c>
      <c r="M739" s="121">
        <v>7690500000</v>
      </c>
      <c r="N739" s="151">
        <v>23768974000</v>
      </c>
      <c r="O739" s="122">
        <f>Q739-P739</f>
        <v>127421000</v>
      </c>
      <c r="P739" s="121"/>
      <c r="Q739" s="121">
        <v>127421000</v>
      </c>
      <c r="R739" s="122">
        <f>T739-S739</f>
        <v>639405000</v>
      </c>
      <c r="S739" s="121"/>
      <c r="T739" s="121">
        <v>639405000</v>
      </c>
      <c r="U739" s="122">
        <f>W739-V739</f>
        <v>31635000</v>
      </c>
      <c r="V739" s="121"/>
      <c r="W739" s="151">
        <v>31635000</v>
      </c>
      <c r="X739" s="122">
        <f>Z739-Y739</f>
        <v>413654000</v>
      </c>
      <c r="Y739" s="121">
        <v>63992000000</v>
      </c>
      <c r="Z739" s="121">
        <v>64405654000</v>
      </c>
      <c r="AA739" s="121"/>
      <c r="AB739" s="121"/>
      <c r="AC739" s="121"/>
      <c r="AD739" s="121"/>
      <c r="AE739" s="121"/>
      <c r="AF739" s="121"/>
      <c r="AG739" s="121"/>
      <c r="AH739" s="121"/>
      <c r="AI739" s="121"/>
      <c r="AJ739" s="121">
        <f t="shared" si="495"/>
        <v>16895240</v>
      </c>
      <c r="AK739" s="59">
        <v>2571990</v>
      </c>
      <c r="AL739" s="54">
        <v>44756</v>
      </c>
      <c r="AM739" s="125">
        <v>739</v>
      </c>
      <c r="AN739" s="54">
        <v>5260650</v>
      </c>
      <c r="AO739" s="125">
        <f t="shared" si="516"/>
        <v>1995300</v>
      </c>
      <c r="AP739" s="59"/>
      <c r="AQ739" s="101">
        <v>25999234000000</v>
      </c>
      <c r="AR739" s="100">
        <v>269769964000</v>
      </c>
      <c r="AS739" s="101">
        <v>181195385846</v>
      </c>
      <c r="AT739" s="105">
        <v>213881350846</v>
      </c>
      <c r="AU739" s="55">
        <f t="shared" si="518"/>
        <v>35548391</v>
      </c>
      <c r="AV739" s="99">
        <f t="shared" si="517"/>
        <v>16987552228.6</v>
      </c>
    </row>
    <row r="740" spans="1:48" ht="15">
      <c r="A740" s="28">
        <v>44757</v>
      </c>
      <c r="B740" s="65">
        <f>43073150364-5196</f>
        <v>43073145168</v>
      </c>
      <c r="C740" s="65"/>
      <c r="D740" s="65"/>
      <c r="E740" s="65"/>
      <c r="F740" s="65">
        <f t="shared" si="509"/>
        <v>43073145168</v>
      </c>
      <c r="G740" s="65">
        <f>ROUND(F740*0.027%,0)</f>
        <v>11629749</v>
      </c>
      <c r="H740" s="58">
        <f>J740-I740</f>
        <v>2791982004</v>
      </c>
      <c r="I740" s="58"/>
      <c r="J740" s="58">
        <v>2791982004</v>
      </c>
      <c r="K740" s="58"/>
      <c r="L740" s="58">
        <f>N740-M740</f>
        <v>4908791768</v>
      </c>
      <c r="M740" s="58"/>
      <c r="N740" s="58">
        <v>4908791768</v>
      </c>
      <c r="O740" s="57">
        <f>Q740-P740</f>
        <v>543502078</v>
      </c>
      <c r="P740" s="58"/>
      <c r="Q740" s="58">
        <v>543502078</v>
      </c>
      <c r="R740" s="58">
        <f>T740-S740</f>
        <v>890643799</v>
      </c>
      <c r="S740" s="58"/>
      <c r="T740" s="58">
        <v>890643799</v>
      </c>
      <c r="U740" s="58">
        <f>W740-V740</f>
        <v>122520012</v>
      </c>
      <c r="V740" s="58"/>
      <c r="W740" s="152">
        <v>122520012</v>
      </c>
      <c r="X740" s="58">
        <f>Z740-Y740</f>
        <v>403481142</v>
      </c>
      <c r="Y740" s="58"/>
      <c r="Z740" s="58">
        <f>403480975+167</f>
        <v>403481142</v>
      </c>
      <c r="AA740" s="122"/>
      <c r="AB740" s="122"/>
      <c r="AC740" s="122"/>
      <c r="AD740" s="122"/>
      <c r="AE740" s="122"/>
      <c r="AF740" s="122"/>
      <c r="AG740" s="122"/>
      <c r="AH740" s="122"/>
      <c r="AI740" s="122"/>
      <c r="AJ740" s="121">
        <f t="shared" si="495"/>
        <v>1043379</v>
      </c>
      <c r="AK740" s="66">
        <v>289710</v>
      </c>
      <c r="AL740" s="54">
        <v>44757</v>
      </c>
      <c r="AM740" s="116">
        <v>1016</v>
      </c>
      <c r="AN740" s="42">
        <f>1811*2550*3</f>
        <v>13854150</v>
      </c>
      <c r="AO740" s="125">
        <f t="shared" si="516"/>
        <v>2743200</v>
      </c>
      <c r="AP740" s="59"/>
      <c r="AQ740" s="102">
        <v>30458292000000</v>
      </c>
      <c r="AR740" s="102">
        <v>572280000000</v>
      </c>
      <c r="AS740" s="102">
        <v>10530220636</v>
      </c>
      <c r="AT740" s="104">
        <v>53603371000</v>
      </c>
      <c r="AU740" s="55">
        <f t="shared" si="518"/>
        <v>29560188</v>
      </c>
      <c r="AV740" s="99">
        <f t="shared" si="517"/>
        <v>17017112416.6</v>
      </c>
    </row>
    <row r="741" spans="1:48" ht="15">
      <c r="A741" s="28">
        <v>44760</v>
      </c>
      <c r="B741" s="65">
        <v>3986013087</v>
      </c>
      <c r="C741" s="65"/>
      <c r="D741" s="65"/>
      <c r="E741" s="65">
        <v>22205185000</v>
      </c>
      <c r="F741" s="65">
        <f t="shared" si="509"/>
        <v>26191198087</v>
      </c>
      <c r="G741" s="65">
        <f>ROUND(F741*0.027%,0)</f>
        <v>7071623</v>
      </c>
      <c r="H741" s="58">
        <f t="shared" ref="H741:H744" si="519">J741-I741</f>
        <v>168714445</v>
      </c>
      <c r="I741" s="58">
        <v>6163800000</v>
      </c>
      <c r="J741" s="58">
        <v>6332514445</v>
      </c>
      <c r="K741" s="58"/>
      <c r="L741" s="58">
        <f t="shared" ref="L741:L744" si="520">N741-M741</f>
        <v>7533984668</v>
      </c>
      <c r="M741" s="58">
        <v>6411250000</v>
      </c>
      <c r="N741" s="152">
        <v>13945234668</v>
      </c>
      <c r="O741" s="57">
        <f t="shared" ref="O741:O744" si="521">Q741-P741</f>
        <v>316656990</v>
      </c>
      <c r="P741" s="58"/>
      <c r="Q741" s="58">
        <v>316656990</v>
      </c>
      <c r="R741" s="58">
        <f t="shared" ref="R741:R744" si="522">T741-S741</f>
        <v>1002563143</v>
      </c>
      <c r="S741" s="58"/>
      <c r="T741" s="58">
        <f>1002561884+1259</f>
        <v>1002563143</v>
      </c>
      <c r="U741" s="58">
        <f t="shared" ref="U741:U744" si="523">W741-V741</f>
        <v>69285988</v>
      </c>
      <c r="V741" s="58"/>
      <c r="W741" s="152">
        <v>69285988</v>
      </c>
      <c r="X741" s="58">
        <f t="shared" ref="X741:X744" si="524">Z741-Y741</f>
        <v>412707944</v>
      </c>
      <c r="Y741" s="58"/>
      <c r="Z741" s="58">
        <v>412707944</v>
      </c>
      <c r="AA741" s="122"/>
      <c r="AB741" s="122"/>
      <c r="AC741" s="122"/>
      <c r="AD741" s="122"/>
      <c r="AE741" s="122"/>
      <c r="AF741" s="122"/>
      <c r="AG741" s="122"/>
      <c r="AH741" s="122"/>
      <c r="AI741" s="122"/>
      <c r="AJ741" s="121">
        <f t="shared" si="495"/>
        <v>3289932</v>
      </c>
      <c r="AK741" s="66">
        <v>280230</v>
      </c>
      <c r="AL741" s="54">
        <v>44760</v>
      </c>
      <c r="AM741" s="116">
        <v>918</v>
      </c>
      <c r="AN741" s="42">
        <f>1847*2550</f>
        <v>4709850</v>
      </c>
      <c r="AO741" s="125">
        <f t="shared" si="516"/>
        <v>2478600</v>
      </c>
      <c r="AP741" s="59"/>
      <c r="AQ741" s="102">
        <v>26205284000000</v>
      </c>
      <c r="AR741" s="102">
        <v>68524000000</v>
      </c>
      <c r="AS741" s="102">
        <v>35525911913</v>
      </c>
      <c r="AT741" s="104">
        <v>61717110000</v>
      </c>
      <c r="AU741" s="55">
        <f t="shared" si="518"/>
        <v>17830235</v>
      </c>
      <c r="AV741" s="99">
        <f t="shared" si="517"/>
        <v>17034942651.6</v>
      </c>
    </row>
    <row r="742" spans="1:48" ht="15">
      <c r="A742" s="28">
        <v>44761</v>
      </c>
      <c r="B742" s="65">
        <v>39962984635</v>
      </c>
      <c r="C742" s="65">
        <v>575400000</v>
      </c>
      <c r="D742" s="65"/>
      <c r="E742" s="65"/>
      <c r="F742" s="65">
        <f t="shared" ref="F742:F744" si="525">SUM(B742:E742)</f>
        <v>40538384635</v>
      </c>
      <c r="G742" s="65">
        <f t="shared" ref="G742:G744" si="526">ROUND(F742*0.027%,0)</f>
        <v>10945364</v>
      </c>
      <c r="H742" s="58">
        <f t="shared" si="519"/>
        <v>140884470</v>
      </c>
      <c r="I742" s="58"/>
      <c r="J742" s="58">
        <f>140883993-523+1000</f>
        <v>140884470</v>
      </c>
      <c r="K742" s="58"/>
      <c r="L742" s="58">
        <f t="shared" si="520"/>
        <v>3693690173</v>
      </c>
      <c r="M742" s="58">
        <v>25475000000</v>
      </c>
      <c r="N742" s="152">
        <f>29168686486+3687</f>
        <v>29168690173</v>
      </c>
      <c r="O742" s="57">
        <f t="shared" si="521"/>
        <v>162890880</v>
      </c>
      <c r="P742" s="58"/>
      <c r="Q742" s="58">
        <f>162891036-156</f>
        <v>162890880</v>
      </c>
      <c r="R742" s="58">
        <f t="shared" si="522"/>
        <v>508634976</v>
      </c>
      <c r="S742" s="58"/>
      <c r="T742" s="58">
        <v>508634976</v>
      </c>
      <c r="U742" s="58">
        <f t="shared" si="523"/>
        <v>1503000</v>
      </c>
      <c r="V742" s="58"/>
      <c r="W742" s="152">
        <v>1503000</v>
      </c>
      <c r="X742" s="58">
        <f t="shared" si="524"/>
        <v>406253874</v>
      </c>
      <c r="Y742" s="58"/>
      <c r="Z742" s="58">
        <v>406253874</v>
      </c>
      <c r="AA742" s="122"/>
      <c r="AB742" s="122"/>
      <c r="AC742" s="122"/>
      <c r="AD742" s="122"/>
      <c r="AE742" s="122"/>
      <c r="AF742" s="122"/>
      <c r="AG742" s="122"/>
      <c r="AH742" s="122"/>
      <c r="AI742" s="122"/>
      <c r="AJ742" s="121">
        <f t="shared" si="495"/>
        <v>5116197</v>
      </c>
      <c r="AK742" s="66">
        <v>45960</v>
      </c>
      <c r="AL742" s="54">
        <v>44761</v>
      </c>
      <c r="AM742" s="116">
        <v>1638</v>
      </c>
      <c r="AN742" s="42">
        <f>2355*2550</f>
        <v>6005250</v>
      </c>
      <c r="AO742" s="125">
        <f t="shared" ref="AO742:AO744" si="527">AM742*2700</f>
        <v>4422600</v>
      </c>
      <c r="AP742" s="59"/>
      <c r="AQ742" s="102">
        <v>26473274000000</v>
      </c>
      <c r="AR742" s="102">
        <v>209550000000</v>
      </c>
      <c r="AS742" s="102">
        <v>31254353365</v>
      </c>
      <c r="AT742" s="104">
        <v>71792738000</v>
      </c>
      <c r="AU742" s="55">
        <f t="shared" si="518"/>
        <v>26535371</v>
      </c>
      <c r="AV742" s="99">
        <f t="shared" si="517"/>
        <v>17061478022.6</v>
      </c>
    </row>
    <row r="743" spans="1:48" ht="15">
      <c r="A743" s="28">
        <v>44762</v>
      </c>
      <c r="B743" s="65">
        <v>18525772354</v>
      </c>
      <c r="C743" s="65"/>
      <c r="D743" s="65"/>
      <c r="E743" s="65"/>
      <c r="F743" s="65">
        <f t="shared" si="525"/>
        <v>18525772354</v>
      </c>
      <c r="G743" s="65">
        <f t="shared" si="526"/>
        <v>5001959</v>
      </c>
      <c r="H743" s="58">
        <f t="shared" si="519"/>
        <v>4640829081</v>
      </c>
      <c r="I743" s="58"/>
      <c r="J743" s="58">
        <v>4640829081</v>
      </c>
      <c r="K743" s="58"/>
      <c r="L743" s="58">
        <f t="shared" si="520"/>
        <v>8229809391</v>
      </c>
      <c r="M743" s="58">
        <v>3909900000</v>
      </c>
      <c r="N743" s="152">
        <v>12139709391</v>
      </c>
      <c r="O743" s="57">
        <f t="shared" si="521"/>
        <v>179930052</v>
      </c>
      <c r="P743" s="58"/>
      <c r="Q743" s="58">
        <v>179930052</v>
      </c>
      <c r="R743" s="58">
        <f t="shared" si="522"/>
        <v>4691888082</v>
      </c>
      <c r="S743" s="58"/>
      <c r="T743" s="58">
        <v>4691888082</v>
      </c>
      <c r="U743" s="58">
        <f t="shared" si="523"/>
        <v>6113000</v>
      </c>
      <c r="V743" s="58"/>
      <c r="W743" s="152">
        <v>6113000</v>
      </c>
      <c r="X743" s="58">
        <f t="shared" si="524"/>
        <v>414926040</v>
      </c>
      <c r="Y743" s="58"/>
      <c r="Z743" s="58">
        <v>414926040</v>
      </c>
      <c r="AA743" s="122"/>
      <c r="AB743" s="122"/>
      <c r="AC743" s="122"/>
      <c r="AD743" s="122"/>
      <c r="AE743" s="122"/>
      <c r="AF743" s="122"/>
      <c r="AG743" s="122"/>
      <c r="AH743" s="122"/>
      <c r="AI743" s="122"/>
      <c r="AJ743" s="121">
        <f t="shared" si="495"/>
        <v>2665440</v>
      </c>
      <c r="AK743" s="66">
        <v>231660</v>
      </c>
      <c r="AL743" s="54">
        <v>44762</v>
      </c>
      <c r="AM743" s="116">
        <f>110+172</f>
        <v>282</v>
      </c>
      <c r="AN743" s="42">
        <f>2417*2550</f>
        <v>6163350</v>
      </c>
      <c r="AO743" s="125">
        <f t="shared" si="527"/>
        <v>761400</v>
      </c>
      <c r="AP743" s="59"/>
      <c r="AQ743" s="102">
        <v>33418078000000</v>
      </c>
      <c r="AR743" s="102">
        <v>173506200000</v>
      </c>
      <c r="AS743" s="102">
        <v>26883995646</v>
      </c>
      <c r="AT743" s="104">
        <v>45409768000</v>
      </c>
      <c r="AU743" s="55">
        <f t="shared" si="518"/>
        <v>14823809</v>
      </c>
      <c r="AV743" s="99">
        <f t="shared" si="517"/>
        <v>17076301831.6</v>
      </c>
    </row>
    <row r="744" spans="1:48" ht="15">
      <c r="A744" s="28">
        <v>44763</v>
      </c>
      <c r="B744" s="65">
        <v>54409585000</v>
      </c>
      <c r="C744" s="65"/>
      <c r="D744" s="65"/>
      <c r="E744" s="65"/>
      <c r="F744" s="65">
        <f t="shared" si="525"/>
        <v>54409585000</v>
      </c>
      <c r="G744" s="65">
        <f t="shared" si="526"/>
        <v>14690588</v>
      </c>
      <c r="H744" s="58">
        <f t="shared" si="519"/>
        <v>34175735000</v>
      </c>
      <c r="I744" s="58"/>
      <c r="J744" s="58">
        <v>34175735000</v>
      </c>
      <c r="K744" s="58"/>
      <c r="L744" s="58">
        <f t="shared" si="520"/>
        <v>25069833000</v>
      </c>
      <c r="M744" s="58"/>
      <c r="N744" s="152">
        <v>25069833000</v>
      </c>
      <c r="O744" s="57">
        <f t="shared" si="521"/>
        <v>58374000</v>
      </c>
      <c r="P744" s="58"/>
      <c r="Q744" s="58">
        <v>58374000</v>
      </c>
      <c r="R744" s="58">
        <f t="shared" si="522"/>
        <v>1239484000</v>
      </c>
      <c r="S744" s="58"/>
      <c r="T744" s="58">
        <v>1239484000</v>
      </c>
      <c r="U744" s="58">
        <f t="shared" si="523"/>
        <v>137999000</v>
      </c>
      <c r="V744" s="58"/>
      <c r="W744" s="152">
        <v>137999000</v>
      </c>
      <c r="X744" s="58">
        <f t="shared" si="524"/>
        <v>415900000</v>
      </c>
      <c r="Y744" s="122"/>
      <c r="Z744" s="58">
        <v>415900000</v>
      </c>
      <c r="AA744" s="122"/>
      <c r="AB744" s="122"/>
      <c r="AC744" s="122"/>
      <c r="AD744" s="122"/>
      <c r="AE744" s="122"/>
      <c r="AF744" s="122"/>
      <c r="AG744" s="122"/>
      <c r="AH744" s="122"/>
      <c r="AI744" s="122"/>
      <c r="AJ744" s="121">
        <f t="shared" si="495"/>
        <v>6598511</v>
      </c>
      <c r="AK744" s="66">
        <f>2038700*0.3</f>
        <v>611610</v>
      </c>
      <c r="AL744" s="54">
        <v>44763</v>
      </c>
      <c r="AM744" s="116">
        <v>925</v>
      </c>
      <c r="AN744" s="42">
        <f>2174*2550</f>
        <v>5543700</v>
      </c>
      <c r="AO744" s="125">
        <f t="shared" si="527"/>
        <v>2497500</v>
      </c>
      <c r="AP744" s="59"/>
      <c r="AQ744" s="102">
        <v>28256932000000</v>
      </c>
      <c r="AR744" s="102">
        <v>212681768000</v>
      </c>
      <c r="AS744" s="102">
        <v>61976131715</v>
      </c>
      <c r="AT744" s="104">
        <v>116385716715</v>
      </c>
      <c r="AU744" s="55">
        <f t="shared" si="518"/>
        <v>29941909</v>
      </c>
      <c r="AV744" s="99">
        <f t="shared" si="517"/>
        <v>17106243740.6</v>
      </c>
    </row>
    <row r="745" spans="1:48" ht="15">
      <c r="A745" s="28">
        <v>44764</v>
      </c>
      <c r="B745" s="65">
        <v>17362375000</v>
      </c>
      <c r="C745" s="65">
        <v>2698930000</v>
      </c>
      <c r="D745" s="65"/>
      <c r="E745" s="65"/>
      <c r="F745" s="65">
        <f>SUM(B745:E745)</f>
        <v>20061305000</v>
      </c>
      <c r="G745" s="65">
        <f>ROUND(F745*0.027%,0)</f>
        <v>5416552</v>
      </c>
      <c r="H745" s="58">
        <f>J745-I745</f>
        <v>16631930000</v>
      </c>
      <c r="I745" s="58">
        <v>2090800000</v>
      </c>
      <c r="J745" s="58">
        <v>18722730000</v>
      </c>
      <c r="K745" s="58"/>
      <c r="L745" s="58">
        <f>N745-M745</f>
        <v>29966647000</v>
      </c>
      <c r="M745" s="58">
        <v>10562000000</v>
      </c>
      <c r="N745" s="58">
        <v>40528647000</v>
      </c>
      <c r="O745" s="58">
        <f>Q745-P745</f>
        <v>765098000</v>
      </c>
      <c r="P745" s="58"/>
      <c r="Q745" s="58">
        <v>765098000</v>
      </c>
      <c r="R745" s="58">
        <f>T745-S745</f>
        <v>1073901000</v>
      </c>
      <c r="S745" s="58"/>
      <c r="T745" s="58">
        <v>1073901000</v>
      </c>
      <c r="U745" s="58">
        <f>W745-V745</f>
        <v>223828000</v>
      </c>
      <c r="V745" s="58"/>
      <c r="W745" s="152">
        <v>223828000</v>
      </c>
      <c r="X745" s="58">
        <f>Z745-Y745</f>
        <v>407730000</v>
      </c>
      <c r="Y745" s="58"/>
      <c r="Z745" s="58">
        <v>407730000</v>
      </c>
      <c r="AA745" s="122"/>
      <c r="AB745" s="122"/>
      <c r="AC745" s="122"/>
      <c r="AD745" s="122"/>
      <c r="AE745" s="122"/>
      <c r="AF745" s="122"/>
      <c r="AG745" s="122"/>
      <c r="AH745" s="122"/>
      <c r="AI745" s="122"/>
      <c r="AJ745" s="121">
        <f t="shared" si="495"/>
        <v>7576970</v>
      </c>
      <c r="AK745" s="66">
        <v>319050</v>
      </c>
      <c r="AL745" s="54">
        <v>44764</v>
      </c>
      <c r="AM745" s="116">
        <v>727</v>
      </c>
      <c r="AN745" s="42">
        <v>15139350</v>
      </c>
      <c r="AO745" s="125">
        <f>AM745*2700</f>
        <v>1962900</v>
      </c>
      <c r="AP745" s="59"/>
      <c r="AQ745" s="102">
        <v>25785716000000</v>
      </c>
      <c r="AR745" s="102">
        <v>240943664000</v>
      </c>
      <c r="AS745" s="102">
        <v>75256828698</v>
      </c>
      <c r="AT745" s="104">
        <v>95318133698</v>
      </c>
      <c r="AU745" s="55">
        <f t="shared" si="518"/>
        <v>30414822</v>
      </c>
      <c r="AV745" s="99">
        <f t="shared" si="517"/>
        <v>17136658562.6</v>
      </c>
    </row>
    <row r="746" spans="1:48" ht="15">
      <c r="A746" s="28">
        <v>44767</v>
      </c>
      <c r="B746" s="65">
        <v>51215070000</v>
      </c>
      <c r="C746" s="65"/>
      <c r="D746" s="65"/>
      <c r="E746" s="65"/>
      <c r="F746" s="65">
        <f>SUM(B746:E746)</f>
        <v>51215070000</v>
      </c>
      <c r="G746" s="65">
        <f>ROUND(F746*0.027%,0)</f>
        <v>13828069</v>
      </c>
      <c r="H746" s="58">
        <f>J746-I746</f>
        <v>15011115000</v>
      </c>
      <c r="I746" s="58">
        <v>2068500000</v>
      </c>
      <c r="J746" s="58">
        <v>17079615000</v>
      </c>
      <c r="K746" s="58"/>
      <c r="L746" s="58">
        <f t="shared" ref="L746:L749" si="528">N746-M746</f>
        <v>12305355000</v>
      </c>
      <c r="M746" s="58">
        <v>39690000000</v>
      </c>
      <c r="N746" s="152">
        <v>51995355000</v>
      </c>
      <c r="O746" s="58">
        <f t="shared" ref="O746:O749" si="529">Q746-P746</f>
        <v>269401000</v>
      </c>
      <c r="P746" s="58"/>
      <c r="Q746" s="58">
        <v>269401000</v>
      </c>
      <c r="R746" s="58">
        <f t="shared" ref="R746:R749" si="530">T746-S746</f>
        <v>675415000</v>
      </c>
      <c r="S746" s="58"/>
      <c r="T746" s="58">
        <v>675415000</v>
      </c>
      <c r="U746" s="58">
        <f t="shared" ref="U746:U749" si="531">W746-V746</f>
        <v>6044000</v>
      </c>
      <c r="V746" s="58"/>
      <c r="W746" s="152">
        <v>6044000</v>
      </c>
      <c r="X746" s="58">
        <f t="shared" ref="X746:X749" si="532">Z746-Y746</f>
        <v>402304000</v>
      </c>
      <c r="Y746" s="58"/>
      <c r="Z746" s="58">
        <v>402304000</v>
      </c>
      <c r="AA746" s="122"/>
      <c r="AB746" s="122"/>
      <c r="AC746" s="122"/>
      <c r="AD746" s="122"/>
      <c r="AE746" s="122"/>
      <c r="AF746" s="122"/>
      <c r="AG746" s="122"/>
      <c r="AH746" s="122"/>
      <c r="AI746" s="122"/>
      <c r="AJ746" s="121">
        <f t="shared" si="495"/>
        <v>10612850</v>
      </c>
      <c r="AK746" s="66">
        <v>526320</v>
      </c>
      <c r="AL746" s="54">
        <v>44767</v>
      </c>
      <c r="AM746" s="116">
        <v>719</v>
      </c>
      <c r="AN746" s="42">
        <v>6558600</v>
      </c>
      <c r="AO746" s="125">
        <f>AM746*2700</f>
        <v>1941300</v>
      </c>
      <c r="AP746" s="59">
        <v>1600000</v>
      </c>
      <c r="AQ746" s="102">
        <v>23729086000000</v>
      </c>
      <c r="AR746" s="102">
        <v>189192004000</v>
      </c>
      <c r="AS746" s="102">
        <v>118273534609</v>
      </c>
      <c r="AT746" s="104">
        <v>169488604609</v>
      </c>
      <c r="AU746" s="55">
        <f t="shared" si="518"/>
        <v>35067139</v>
      </c>
      <c r="AV746" s="99">
        <f t="shared" si="517"/>
        <v>17171725701.6</v>
      </c>
    </row>
    <row r="747" spans="1:48" ht="15">
      <c r="A747" s="28">
        <v>44768</v>
      </c>
      <c r="B747" s="65">
        <v>11460520000</v>
      </c>
      <c r="C747" s="65">
        <v>2652340000</v>
      </c>
      <c r="D747" s="65"/>
      <c r="E747" s="65"/>
      <c r="F747" s="65">
        <f t="shared" ref="F747:F749" si="533">SUM(B747:E747)</f>
        <v>14112860000</v>
      </c>
      <c r="G747" s="65">
        <f t="shared" ref="G747:G749" si="534">ROUND(F747*0.027%,0)</f>
        <v>3810472</v>
      </c>
      <c r="H747" s="58">
        <f t="shared" ref="H747:H749" si="535">J747-I747</f>
        <v>274687000</v>
      </c>
      <c r="I747" s="58">
        <v>34997900000</v>
      </c>
      <c r="J747" s="58">
        <v>35272587000</v>
      </c>
      <c r="K747" s="58"/>
      <c r="L747" s="58">
        <f t="shared" si="528"/>
        <v>11949641000</v>
      </c>
      <c r="M747" s="58">
        <v>2585500000</v>
      </c>
      <c r="N747" s="152">
        <v>14535141000</v>
      </c>
      <c r="O747" s="58">
        <f t="shared" si="529"/>
        <v>1684230000</v>
      </c>
      <c r="P747" s="58"/>
      <c r="Q747" s="58">
        <v>1684230000</v>
      </c>
      <c r="R747" s="58">
        <f t="shared" si="530"/>
        <v>1265302000</v>
      </c>
      <c r="S747" s="58"/>
      <c r="T747" s="58">
        <v>1265302000</v>
      </c>
      <c r="U747" s="58">
        <f t="shared" si="531"/>
        <v>45432000</v>
      </c>
      <c r="V747" s="58"/>
      <c r="W747" s="152">
        <v>45432000</v>
      </c>
      <c r="X747" s="58">
        <f t="shared" si="532"/>
        <v>439386000</v>
      </c>
      <c r="Y747" s="58">
        <v>34288200000</v>
      </c>
      <c r="Z747" s="58">
        <v>34727586000</v>
      </c>
      <c r="AA747" s="122"/>
      <c r="AB747" s="122"/>
      <c r="AC747" s="122"/>
      <c r="AD747" s="122"/>
      <c r="AE747" s="122"/>
      <c r="AF747" s="122"/>
      <c r="AG747" s="122"/>
      <c r="AH747" s="122"/>
      <c r="AI747" s="122"/>
      <c r="AJ747" s="121">
        <f t="shared" si="495"/>
        <v>14628025</v>
      </c>
      <c r="AK747" s="66">
        <v>1384650</v>
      </c>
      <c r="AL747" s="54">
        <v>44768</v>
      </c>
      <c r="AM747" s="116">
        <v>278</v>
      </c>
      <c r="AN747" s="42">
        <v>7068600</v>
      </c>
      <c r="AO747" s="125">
        <f t="shared" ref="AO747:AO749" si="536">AM747*2700</f>
        <v>750600</v>
      </c>
      <c r="AP747" s="59">
        <v>21047270</v>
      </c>
      <c r="AQ747" s="102">
        <v>23246348000000</v>
      </c>
      <c r="AR747" s="102">
        <v>202845528000</v>
      </c>
      <c r="AS747" s="102">
        <v>160277187584</v>
      </c>
      <c r="AT747" s="104">
        <v>174390047584</v>
      </c>
      <c r="AU747" s="55">
        <f t="shared" si="518"/>
        <v>48689617</v>
      </c>
      <c r="AV747" s="99">
        <f t="shared" si="517"/>
        <v>17220415318.599998</v>
      </c>
    </row>
    <row r="748" spans="1:48" ht="15">
      <c r="A748" s="28">
        <v>44769</v>
      </c>
      <c r="B748" s="65">
        <v>18959530000</v>
      </c>
      <c r="C748" s="65"/>
      <c r="D748" s="65"/>
      <c r="E748" s="65">
        <v>6302510000</v>
      </c>
      <c r="F748" s="65">
        <f t="shared" si="533"/>
        <v>25262040000</v>
      </c>
      <c r="G748" s="65">
        <f t="shared" si="534"/>
        <v>6820751</v>
      </c>
      <c r="H748" s="58">
        <f t="shared" si="535"/>
        <v>88236000</v>
      </c>
      <c r="I748" s="58"/>
      <c r="J748" s="58">
        <v>88236000</v>
      </c>
      <c r="K748" s="58"/>
      <c r="L748" s="58">
        <f t="shared" si="528"/>
        <v>781378000</v>
      </c>
      <c r="M748" s="58"/>
      <c r="N748" s="152">
        <v>781378000</v>
      </c>
      <c r="O748" s="58">
        <f t="shared" si="529"/>
        <v>111735000</v>
      </c>
      <c r="P748" s="58"/>
      <c r="Q748" s="58">
        <v>111735000</v>
      </c>
      <c r="R748" s="58">
        <f t="shared" si="530"/>
        <v>710485000</v>
      </c>
      <c r="S748" s="58"/>
      <c r="T748" s="58">
        <v>710485000</v>
      </c>
      <c r="U748" s="58">
        <f t="shared" si="531"/>
        <v>24096000</v>
      </c>
      <c r="V748" s="58"/>
      <c r="W748" s="152">
        <v>24096000</v>
      </c>
      <c r="X748" s="58">
        <f t="shared" si="532"/>
        <v>405610000</v>
      </c>
      <c r="Y748" s="58"/>
      <c r="Z748" s="58">
        <v>405610000</v>
      </c>
      <c r="AA748" s="122"/>
      <c r="AB748" s="122"/>
      <c r="AC748" s="122"/>
      <c r="AD748" s="122"/>
      <c r="AE748" s="122"/>
      <c r="AF748" s="122"/>
      <c r="AG748" s="122"/>
      <c r="AH748" s="122"/>
      <c r="AI748" s="122"/>
      <c r="AJ748" s="121">
        <f t="shared" si="495"/>
        <v>229126</v>
      </c>
      <c r="AK748" s="66">
        <f>62800*0.3</f>
        <v>18840</v>
      </c>
      <c r="AL748" s="54">
        <v>44769</v>
      </c>
      <c r="AM748" s="116">
        <v>244</v>
      </c>
      <c r="AN748" s="42">
        <v>7655100</v>
      </c>
      <c r="AO748" s="125">
        <f t="shared" si="536"/>
        <v>658800</v>
      </c>
      <c r="AP748" s="59">
        <v>15692060</v>
      </c>
      <c r="AQ748" s="102">
        <v>22962746000000</v>
      </c>
      <c r="AR748" s="102">
        <v>22317404000</v>
      </c>
      <c r="AS748" s="102">
        <v>3564511018</v>
      </c>
      <c r="AT748" s="104">
        <v>28826551018</v>
      </c>
      <c r="AU748" s="55">
        <f t="shared" si="518"/>
        <v>31074677</v>
      </c>
      <c r="AV748" s="99">
        <f t="shared" si="517"/>
        <v>17251489995.599998</v>
      </c>
    </row>
    <row r="749" spans="1:48" ht="15">
      <c r="A749" s="28">
        <v>44770</v>
      </c>
      <c r="B749" s="65">
        <v>24003325000</v>
      </c>
      <c r="C749" s="65">
        <v>17055595000</v>
      </c>
      <c r="D749" s="65">
        <v>9134750000</v>
      </c>
      <c r="E749" s="65">
        <v>15389750000</v>
      </c>
      <c r="F749" s="65">
        <f t="shared" si="533"/>
        <v>65583420000</v>
      </c>
      <c r="G749" s="65">
        <f t="shared" si="534"/>
        <v>17707523</v>
      </c>
      <c r="H749" s="58">
        <f t="shared" si="535"/>
        <v>501837000</v>
      </c>
      <c r="I749" s="58"/>
      <c r="J749" s="58">
        <v>501837000</v>
      </c>
      <c r="K749" s="58"/>
      <c r="L749" s="58">
        <f t="shared" si="528"/>
        <v>4342499000</v>
      </c>
      <c r="M749" s="58"/>
      <c r="N749" s="152">
        <v>4342499000</v>
      </c>
      <c r="O749" s="58">
        <f t="shared" si="529"/>
        <v>341841000</v>
      </c>
      <c r="P749" s="58"/>
      <c r="Q749" s="58">
        <v>341841000</v>
      </c>
      <c r="R749" s="58">
        <f t="shared" si="530"/>
        <v>937682000</v>
      </c>
      <c r="S749" s="58"/>
      <c r="T749" s="58">
        <v>937682000</v>
      </c>
      <c r="U749" s="58">
        <f t="shared" si="531"/>
        <v>68658000</v>
      </c>
      <c r="V749" s="58"/>
      <c r="W749" s="152">
        <v>68658000</v>
      </c>
      <c r="X749" s="58">
        <f t="shared" si="532"/>
        <v>406618000</v>
      </c>
      <c r="Y749" s="122"/>
      <c r="Z749" s="58">
        <v>406618000</v>
      </c>
      <c r="AA749" s="122"/>
      <c r="AB749" s="122"/>
      <c r="AC749" s="122"/>
      <c r="AD749" s="122"/>
      <c r="AE749" s="122"/>
      <c r="AF749" s="122"/>
      <c r="AG749" s="122"/>
      <c r="AH749" s="122"/>
      <c r="AI749" s="122"/>
      <c r="AJ749" s="121">
        <f t="shared" si="495"/>
        <v>712707</v>
      </c>
      <c r="AK749" s="66">
        <v>188070</v>
      </c>
      <c r="AL749" s="54">
        <v>44770</v>
      </c>
      <c r="AM749" s="116">
        <v>557</v>
      </c>
      <c r="AN749" s="42">
        <v>7479150</v>
      </c>
      <c r="AO749" s="125">
        <f t="shared" si="536"/>
        <v>1503900</v>
      </c>
      <c r="AP749" s="59"/>
      <c r="AQ749" s="102">
        <v>36555180000000</v>
      </c>
      <c r="AR749" s="102">
        <v>92232278000</v>
      </c>
      <c r="AS749" s="102">
        <v>7482035640</v>
      </c>
      <c r="AT749" s="104">
        <v>73065455640</v>
      </c>
      <c r="AU749" s="55">
        <f t="shared" si="518"/>
        <v>27591350</v>
      </c>
      <c r="AV749" s="99">
        <f t="shared" si="517"/>
        <v>17279081345.599998</v>
      </c>
    </row>
    <row r="750" spans="1:48" ht="15">
      <c r="A750" s="28">
        <v>44771</v>
      </c>
      <c r="B750" s="65">
        <v>74926595000</v>
      </c>
      <c r="C750" s="65"/>
      <c r="D750" s="65"/>
      <c r="E750" s="65"/>
      <c r="F750" s="65">
        <f>SUM(B750:E750)</f>
        <v>74926595000</v>
      </c>
      <c r="G750" s="65">
        <f>ROUND(F750*0.027%,0)</f>
        <v>20230181</v>
      </c>
      <c r="H750" s="58">
        <f>J750-I750</f>
        <v>9843282000</v>
      </c>
      <c r="I750" s="58"/>
      <c r="J750" s="58">
        <v>9843282000</v>
      </c>
      <c r="K750" s="58"/>
      <c r="L750" s="58">
        <f>N750-M750</f>
        <v>3999741000</v>
      </c>
      <c r="M750" s="58"/>
      <c r="N750" s="58">
        <v>3999741000</v>
      </c>
      <c r="O750" s="58">
        <f>Q750-P750</f>
        <v>2230199000</v>
      </c>
      <c r="P750" s="58"/>
      <c r="Q750" s="58">
        <v>2230199000</v>
      </c>
      <c r="R750" s="58">
        <f>T750-S750</f>
        <v>1187781000</v>
      </c>
      <c r="S750" s="58"/>
      <c r="T750" s="58">
        <v>1187781000</v>
      </c>
      <c r="U750" s="58">
        <f>W750-V750</f>
        <v>178622000</v>
      </c>
      <c r="V750" s="58"/>
      <c r="W750" s="152">
        <v>178622000</v>
      </c>
      <c r="X750" s="58">
        <f>Z750-Y750</f>
        <v>410362000</v>
      </c>
      <c r="Y750" s="58"/>
      <c r="Z750" s="58">
        <v>410362000</v>
      </c>
      <c r="AA750" s="122"/>
      <c r="AB750" s="122"/>
      <c r="AC750" s="122"/>
      <c r="AD750" s="122"/>
      <c r="AE750" s="122"/>
      <c r="AF750" s="122"/>
      <c r="AG750" s="122"/>
      <c r="AH750" s="122"/>
      <c r="AI750" s="122"/>
      <c r="AJ750" s="121">
        <f t="shared" si="495"/>
        <v>1927799</v>
      </c>
      <c r="AK750" s="66">
        <f>2499600*0.3</f>
        <v>749880</v>
      </c>
      <c r="AL750" s="54">
        <v>44771</v>
      </c>
      <c r="AM750" s="116">
        <v>771</v>
      </c>
      <c r="AN750" s="42">
        <f>2374*2550*3</f>
        <v>18161100</v>
      </c>
      <c r="AO750" s="125">
        <f>AM750*2700</f>
        <v>2081700</v>
      </c>
      <c r="AP750" s="59"/>
      <c r="AQ750" s="102">
        <v>34102488000000</v>
      </c>
      <c r="AR750" s="102">
        <v>63568928000</v>
      </c>
      <c r="AS750" s="102">
        <v>19746480953</v>
      </c>
      <c r="AT750" s="104">
        <v>94673075953</v>
      </c>
      <c r="AU750" s="55">
        <f t="shared" ref="AU750" si="537">G750+AJ750+AK750+AN750+AO750+AP750-3349409.99999809</f>
        <v>39801250.000001907</v>
      </c>
      <c r="AV750" s="99">
        <f t="shared" si="517"/>
        <v>17318882595.599998</v>
      </c>
    </row>
    <row r="751" spans="1:48" ht="15">
      <c r="A751" s="28">
        <v>44774</v>
      </c>
      <c r="B751" s="65">
        <v>43096165000</v>
      </c>
      <c r="C751" s="65"/>
      <c r="D751" s="65"/>
      <c r="E751" s="65"/>
      <c r="F751" s="65">
        <f>SUM(B751:E751)</f>
        <v>43096165000</v>
      </c>
      <c r="G751" s="65">
        <f>ROUND(F751*0.027%,0)</f>
        <v>11635965</v>
      </c>
      <c r="H751" s="58">
        <f>J751-I751</f>
        <v>8124801000</v>
      </c>
      <c r="I751" s="58">
        <v>4198800000</v>
      </c>
      <c r="J751" s="58">
        <v>12323601000</v>
      </c>
      <c r="K751" s="58"/>
      <c r="L751" s="58">
        <f t="shared" ref="L751:L754" si="538">N751-M751</f>
        <v>11828105000</v>
      </c>
      <c r="M751" s="58">
        <v>2606000000</v>
      </c>
      <c r="N751" s="152">
        <v>14434105000</v>
      </c>
      <c r="O751" s="58">
        <f t="shared" ref="O751:O754" si="539">Q751-P751</f>
        <v>6929627000</v>
      </c>
      <c r="P751" s="58"/>
      <c r="Q751" s="58">
        <v>6929627000</v>
      </c>
      <c r="R751" s="58">
        <f t="shared" ref="R751:R754" si="540">T751-S751</f>
        <v>774774000</v>
      </c>
      <c r="S751" s="58"/>
      <c r="T751" s="58">
        <v>774774000</v>
      </c>
      <c r="U751" s="58">
        <f t="shared" ref="U751:U754" si="541">W751-V751</f>
        <v>134033000</v>
      </c>
      <c r="V751" s="58"/>
      <c r="W751" s="152">
        <v>134033000</v>
      </c>
      <c r="X751" s="58">
        <f t="shared" ref="X751:X754" si="542">Z751-Y751</f>
        <v>417109000</v>
      </c>
      <c r="Y751" s="58"/>
      <c r="Z751" s="58">
        <f>204882000+212227000</f>
        <v>417109000</v>
      </c>
      <c r="AA751" s="122"/>
      <c r="AB751" s="122"/>
      <c r="AC751" s="122"/>
      <c r="AD751" s="122"/>
      <c r="AE751" s="122"/>
      <c r="AF751" s="122"/>
      <c r="AG751" s="122"/>
      <c r="AH751" s="122"/>
      <c r="AI751" s="122"/>
      <c r="AJ751" s="121">
        <f t="shared" si="495"/>
        <v>4271376</v>
      </c>
      <c r="AK751" s="66">
        <v>597480</v>
      </c>
      <c r="AL751" s="54">
        <v>44774</v>
      </c>
      <c r="AM751" s="116">
        <v>560</v>
      </c>
      <c r="AN751" s="42">
        <f>2056*2550</f>
        <v>5242800</v>
      </c>
      <c r="AO751" s="125">
        <f>AM751*2700</f>
        <v>1512000</v>
      </c>
      <c r="AP751" s="59"/>
      <c r="AQ751" s="102">
        <v>37602518000000</v>
      </c>
      <c r="AR751" s="102">
        <v>191434638000</v>
      </c>
      <c r="AS751" s="102">
        <v>42702747797</v>
      </c>
      <c r="AT751" s="104">
        <v>85798912797</v>
      </c>
      <c r="AU751" s="55">
        <f t="shared" ref="AU751:AU814" si="543">G751+AJ751+AK751+AN751+AO751+AP751</f>
        <v>23259621</v>
      </c>
      <c r="AV751" s="99">
        <f t="shared" ref="AV751:AV777" si="544">AV750+AU751</f>
        <v>17342142216.599998</v>
      </c>
    </row>
    <row r="752" spans="1:48" ht="15">
      <c r="A752" s="28">
        <v>44775</v>
      </c>
      <c r="B752" s="65">
        <v>26309010000</v>
      </c>
      <c r="C752" s="65"/>
      <c r="D752" s="65"/>
      <c r="E752" s="65"/>
      <c r="F752" s="65">
        <f t="shared" ref="F752:F754" si="545">SUM(B752:E752)</f>
        <v>26309010000</v>
      </c>
      <c r="G752" s="65">
        <f t="shared" ref="G752:G754" si="546">ROUND(F752*0.027%,0)</f>
        <v>7103433</v>
      </c>
      <c r="H752" s="58">
        <f t="shared" ref="H752:H754" si="547">J752-I752</f>
        <v>22338102000</v>
      </c>
      <c r="I752" s="58">
        <f>6413300000+25411500000</f>
        <v>31824800000</v>
      </c>
      <c r="J752" s="58">
        <v>54162902000</v>
      </c>
      <c r="K752" s="58"/>
      <c r="L752" s="58">
        <f t="shared" si="538"/>
        <v>10910492000</v>
      </c>
      <c r="M752" s="58">
        <v>21056500000</v>
      </c>
      <c r="N752" s="152">
        <v>31966992000</v>
      </c>
      <c r="O752" s="58">
        <f t="shared" si="539"/>
        <v>306312000</v>
      </c>
      <c r="P752" s="58"/>
      <c r="Q752" s="58">
        <v>306312000</v>
      </c>
      <c r="R752" s="58">
        <f t="shared" si="540"/>
        <v>992536000</v>
      </c>
      <c r="S752" s="58"/>
      <c r="T752" s="58">
        <v>992536000</v>
      </c>
      <c r="U752" s="58">
        <f t="shared" si="541"/>
        <v>138626000</v>
      </c>
      <c r="V752" s="58"/>
      <c r="W752" s="152">
        <v>138626000</v>
      </c>
      <c r="X752" s="58">
        <f t="shared" si="542"/>
        <v>428370000</v>
      </c>
      <c r="Y752" s="58"/>
      <c r="Z752" s="58">
        <f>209709000+218661000</f>
        <v>428370000</v>
      </c>
      <c r="AA752" s="122"/>
      <c r="AB752" s="122"/>
      <c r="AC752" s="122"/>
      <c r="AD752" s="122"/>
      <c r="AE752" s="122"/>
      <c r="AF752" s="122"/>
      <c r="AG752" s="122"/>
      <c r="AH752" s="122"/>
      <c r="AI752" s="122"/>
      <c r="AJ752" s="121">
        <f t="shared" si="495"/>
        <v>13310993</v>
      </c>
      <c r="AK752" s="66">
        <v>659370</v>
      </c>
      <c r="AL752" s="54">
        <v>44775</v>
      </c>
      <c r="AM752" s="116">
        <v>525</v>
      </c>
      <c r="AN752" s="42">
        <f>1903*2550</f>
        <v>4852650</v>
      </c>
      <c r="AO752" s="125">
        <f t="shared" ref="AO752:AO754" si="548">AM752*2700</f>
        <v>1417500</v>
      </c>
      <c r="AP752" s="59"/>
      <c r="AQ752" s="102">
        <v>40174234000000</v>
      </c>
      <c r="AR752" s="102">
        <v>727234806000</v>
      </c>
      <c r="AS752" s="102">
        <v>141974825480</v>
      </c>
      <c r="AT752" s="104">
        <v>168283835480</v>
      </c>
      <c r="AU752" s="55">
        <f t="shared" si="543"/>
        <v>27343946</v>
      </c>
      <c r="AV752" s="99">
        <f t="shared" si="544"/>
        <v>17369486162.599998</v>
      </c>
    </row>
    <row r="753" spans="1:48" ht="15">
      <c r="A753" s="28">
        <v>44776</v>
      </c>
      <c r="B753" s="65">
        <v>4219945000</v>
      </c>
      <c r="C753" s="65"/>
      <c r="D753" s="65"/>
      <c r="E753" s="65"/>
      <c r="F753" s="65">
        <f t="shared" si="545"/>
        <v>4219945000</v>
      </c>
      <c r="G753" s="65">
        <f t="shared" si="546"/>
        <v>1139385</v>
      </c>
      <c r="H753" s="58">
        <f t="shared" si="547"/>
        <v>10863388000</v>
      </c>
      <c r="I753" s="58">
        <f>6408900000+12741000000</f>
        <v>19149900000</v>
      </c>
      <c r="J753" s="58">
        <v>30013288000</v>
      </c>
      <c r="K753" s="58"/>
      <c r="L753" s="58">
        <f t="shared" si="538"/>
        <v>43303101000</v>
      </c>
      <c r="M753" s="58">
        <v>42934500000</v>
      </c>
      <c r="N753" s="152">
        <v>86237601000</v>
      </c>
      <c r="O753" s="58">
        <f t="shared" si="539"/>
        <v>2146894000</v>
      </c>
      <c r="P753" s="58"/>
      <c r="Q753" s="58">
        <v>2146894000</v>
      </c>
      <c r="R753" s="58">
        <f t="shared" si="540"/>
        <v>1028479000</v>
      </c>
      <c r="S753" s="58"/>
      <c r="T753" s="58">
        <v>1028479000</v>
      </c>
      <c r="U753" s="58">
        <f t="shared" si="541"/>
        <v>18655000</v>
      </c>
      <c r="V753" s="58"/>
      <c r="W753" s="152">
        <v>18655000</v>
      </c>
      <c r="X753" s="58">
        <f t="shared" si="542"/>
        <v>412963000</v>
      </c>
      <c r="Y753" s="58"/>
      <c r="Z753" s="58">
        <f>207713000+205250000</f>
        <v>412963000</v>
      </c>
      <c r="AA753" s="122"/>
      <c r="AB753" s="122"/>
      <c r="AC753" s="122"/>
      <c r="AD753" s="122"/>
      <c r="AE753" s="122"/>
      <c r="AF753" s="122"/>
      <c r="AG753" s="122"/>
      <c r="AH753" s="122"/>
      <c r="AI753" s="122"/>
      <c r="AJ753" s="121">
        <f t="shared" si="495"/>
        <v>17414728</v>
      </c>
      <c r="AK753" s="66">
        <v>670470</v>
      </c>
      <c r="AL753" s="54">
        <v>44776</v>
      </c>
      <c r="AM753" s="116">
        <v>174</v>
      </c>
      <c r="AN753" s="42">
        <f>1999*2550</f>
        <v>5097450</v>
      </c>
      <c r="AO753" s="125">
        <f t="shared" si="548"/>
        <v>469800</v>
      </c>
      <c r="AP753" s="59"/>
      <c r="AQ753" s="102">
        <v>40310936000000</v>
      </c>
      <c r="AR753" s="102">
        <v>519658640000</v>
      </c>
      <c r="AS753" s="102">
        <v>182874225628</v>
      </c>
      <c r="AT753" s="104">
        <v>187094170628</v>
      </c>
      <c r="AU753" s="55">
        <f t="shared" si="543"/>
        <v>24791833</v>
      </c>
      <c r="AV753" s="99">
        <f t="shared" si="544"/>
        <v>17394277995.599998</v>
      </c>
    </row>
    <row r="754" spans="1:48" ht="15">
      <c r="A754" s="28">
        <v>44777</v>
      </c>
      <c r="B754" s="65"/>
      <c r="C754" s="65"/>
      <c r="D754" s="65"/>
      <c r="E754" s="65"/>
      <c r="F754" s="65">
        <f t="shared" si="545"/>
        <v>0</v>
      </c>
      <c r="G754" s="65">
        <f t="shared" si="546"/>
        <v>0</v>
      </c>
      <c r="H754" s="58">
        <f t="shared" si="547"/>
        <v>46958162000</v>
      </c>
      <c r="I754" s="58">
        <f>3208800000+23614500000</f>
        <v>26823300000</v>
      </c>
      <c r="J754" s="58">
        <v>73781462000</v>
      </c>
      <c r="K754" s="58"/>
      <c r="L754" s="58">
        <f t="shared" si="538"/>
        <v>6564884000</v>
      </c>
      <c r="M754" s="58"/>
      <c r="N754" s="152">
        <v>6564884000</v>
      </c>
      <c r="O754" s="58">
        <f t="shared" si="539"/>
        <v>480574000</v>
      </c>
      <c r="P754" s="58"/>
      <c r="Q754" s="58">
        <v>480574000</v>
      </c>
      <c r="R754" s="58">
        <f t="shared" si="540"/>
        <v>757094000</v>
      </c>
      <c r="S754" s="58"/>
      <c r="T754" s="58">
        <v>757094000</v>
      </c>
      <c r="U754" s="58">
        <f t="shared" si="541"/>
        <v>25072000</v>
      </c>
      <c r="V754" s="58"/>
      <c r="W754" s="152">
        <v>25072000</v>
      </c>
      <c r="X754" s="58">
        <f t="shared" si="542"/>
        <v>472354000</v>
      </c>
      <c r="Y754" s="122"/>
      <c r="Z754" s="58">
        <f>207000000+265354000</f>
        <v>472354000</v>
      </c>
      <c r="AA754" s="122"/>
      <c r="AB754" s="122"/>
      <c r="AC754" s="122"/>
      <c r="AD754" s="122"/>
      <c r="AE754" s="122"/>
      <c r="AF754" s="122"/>
      <c r="AG754" s="122"/>
      <c r="AH754" s="122"/>
      <c r="AI754" s="122"/>
      <c r="AJ754" s="121">
        <f t="shared" ref="AJ754:AJ785" si="549">ROUND(H754*0.0108%+I754*0.018%+K754*0.018%+L754*0.0108%+M754*0.018%+O754*0.0108%+P754*0.018%+R754*0.0108%+S754*0.018%+V754*0.018%+U754*0.0108%+X754*0.0108%+Y754*0.018%,0)</f>
        <v>10796073</v>
      </c>
      <c r="AK754" s="66">
        <v>584490</v>
      </c>
      <c r="AL754" s="54">
        <v>44777</v>
      </c>
      <c r="AM754" s="116">
        <v>501</v>
      </c>
      <c r="AN754" s="42">
        <f>1858*2550</f>
        <v>4737900</v>
      </c>
      <c r="AO754" s="125">
        <f t="shared" si="548"/>
        <v>1352700</v>
      </c>
      <c r="AP754" s="59"/>
      <c r="AQ754" s="102">
        <v>39474442000000</v>
      </c>
      <c r="AR754" s="102">
        <v>826239694000</v>
      </c>
      <c r="AS754" s="102">
        <v>109817504981</v>
      </c>
      <c r="AT754" s="104">
        <v>109817504981</v>
      </c>
      <c r="AU754" s="55">
        <f t="shared" si="543"/>
        <v>17471163</v>
      </c>
      <c r="AV754" s="99">
        <f t="shared" si="544"/>
        <v>17411749158.599998</v>
      </c>
    </row>
    <row r="755" spans="1:48" ht="15">
      <c r="A755" s="28">
        <v>44778</v>
      </c>
      <c r="B755" s="65">
        <v>27687245000</v>
      </c>
      <c r="C755" s="65"/>
      <c r="D755" s="65"/>
      <c r="E755" s="65"/>
      <c r="F755" s="65">
        <f>SUM(B755:E755)</f>
        <v>27687245000</v>
      </c>
      <c r="G755" s="65">
        <f>ROUND(F755*0.027%,0)</f>
        <v>7475556</v>
      </c>
      <c r="H755" s="58">
        <f>J755-I755</f>
        <v>38253909000</v>
      </c>
      <c r="I755" s="58">
        <v>10781750000</v>
      </c>
      <c r="J755" s="58">
        <v>49035659000</v>
      </c>
      <c r="K755" s="58"/>
      <c r="L755" s="58">
        <f>N755-M755</f>
        <v>10493170000</v>
      </c>
      <c r="M755" s="58">
        <v>3996450000</v>
      </c>
      <c r="N755" s="58">
        <v>14489620000</v>
      </c>
      <c r="O755" s="58">
        <f>Q755-P755</f>
        <v>4883657000</v>
      </c>
      <c r="P755" s="58">
        <v>1753000000</v>
      </c>
      <c r="Q755" s="58">
        <f>6331865000+304792000</f>
        <v>6636657000</v>
      </c>
      <c r="R755" s="58">
        <f>T755-S755</f>
        <v>829340000</v>
      </c>
      <c r="S755" s="58"/>
      <c r="T755" s="58">
        <v>829340000</v>
      </c>
      <c r="U755" s="58">
        <f>W755-V755</f>
        <v>1563000</v>
      </c>
      <c r="V755" s="58"/>
      <c r="W755" s="152">
        <v>1563000</v>
      </c>
      <c r="X755" s="58">
        <f>Z755-Y755</f>
        <v>439625000</v>
      </c>
      <c r="Y755" s="58"/>
      <c r="Z755" s="58">
        <v>439625000</v>
      </c>
      <c r="AA755" s="122"/>
      <c r="AB755" s="122"/>
      <c r="AC755" s="122"/>
      <c r="AD755" s="122"/>
      <c r="AE755" s="122"/>
      <c r="AF755" s="122"/>
      <c r="AG755" s="122"/>
      <c r="AH755" s="122"/>
      <c r="AI755" s="122"/>
      <c r="AJ755" s="121">
        <f t="shared" si="549"/>
        <v>8904953</v>
      </c>
      <c r="AK755" s="66">
        <v>910470</v>
      </c>
      <c r="AL755" s="54">
        <v>44778</v>
      </c>
      <c r="AM755" s="116">
        <v>540</v>
      </c>
      <c r="AN755" s="42">
        <f>1684*2550*3</f>
        <v>12882600</v>
      </c>
      <c r="AO755" s="125">
        <f>AM755*2700</f>
        <v>1458000</v>
      </c>
      <c r="AP755" s="59"/>
      <c r="AQ755" s="102">
        <v>36515262000000</v>
      </c>
      <c r="AR755" s="102">
        <v>770875984000</v>
      </c>
      <c r="AS755" s="102">
        <v>87114873116</v>
      </c>
      <c r="AT755" s="104">
        <v>114802118116</v>
      </c>
      <c r="AU755" s="55">
        <f t="shared" si="543"/>
        <v>31631579</v>
      </c>
      <c r="AV755" s="99">
        <f t="shared" si="544"/>
        <v>17443380737.599998</v>
      </c>
    </row>
    <row r="756" spans="1:48" ht="15">
      <c r="A756" s="28">
        <v>44781</v>
      </c>
      <c r="B756" s="65">
        <v>11332085000</v>
      </c>
      <c r="C756" s="65"/>
      <c r="D756" s="65"/>
      <c r="E756" s="65"/>
      <c r="F756" s="65">
        <f>SUM(B756:E756)</f>
        <v>11332085000</v>
      </c>
      <c r="G756" s="65">
        <f>ROUND(F756*0.027%,0)</f>
        <v>3059663</v>
      </c>
      <c r="H756" s="58">
        <f>J756-I756</f>
        <v>13238224000</v>
      </c>
      <c r="I756" s="58">
        <v>7541050000</v>
      </c>
      <c r="J756" s="58">
        <v>20779274000</v>
      </c>
      <c r="K756" s="58"/>
      <c r="L756" s="58">
        <f t="shared" ref="L756:L759" si="550">N756-M756</f>
        <v>3742990000</v>
      </c>
      <c r="M756" s="58"/>
      <c r="N756" s="152">
        <v>3742990000</v>
      </c>
      <c r="O756" s="58">
        <f t="shared" ref="O756:O759" si="551">Q756-P756</f>
        <v>92550000</v>
      </c>
      <c r="P756" s="58"/>
      <c r="Q756" s="58">
        <v>92550000</v>
      </c>
      <c r="R756" s="58">
        <f t="shared" ref="R756:R759" si="552">T756-S756</f>
        <v>885396000</v>
      </c>
      <c r="S756" s="58"/>
      <c r="T756" s="58">
        <v>885396000</v>
      </c>
      <c r="U756" s="58">
        <f t="shared" ref="U756:U759" si="553">W756-V756</f>
        <v>119156000</v>
      </c>
      <c r="V756" s="58"/>
      <c r="W756" s="152">
        <v>119156000</v>
      </c>
      <c r="X756" s="58">
        <f t="shared" ref="X756:X759" si="554">Z756-Y756</f>
        <v>419316000</v>
      </c>
      <c r="Y756" s="58"/>
      <c r="Z756" s="58">
        <v>419316000</v>
      </c>
      <c r="AA756" s="122"/>
      <c r="AB756" s="122"/>
      <c r="AC756" s="122"/>
      <c r="AD756" s="122"/>
      <c r="AE756" s="122"/>
      <c r="AF756" s="122"/>
      <c r="AG756" s="122"/>
      <c r="AH756" s="122"/>
      <c r="AI756" s="122"/>
      <c r="AJ756" s="121">
        <f t="shared" si="549"/>
        <v>3355133</v>
      </c>
      <c r="AK756" s="66">
        <v>151200</v>
      </c>
      <c r="AL756" s="54">
        <v>44781</v>
      </c>
      <c r="AM756" s="116">
        <v>222</v>
      </c>
      <c r="AN756" s="42">
        <f>1852*2550</f>
        <v>4722600</v>
      </c>
      <c r="AO756" s="125">
        <f>AM756*2700</f>
        <v>599400</v>
      </c>
      <c r="AP756" s="59"/>
      <c r="AQ756" s="102">
        <v>37132524000000</v>
      </c>
      <c r="AR756" s="102">
        <v>432475640000</v>
      </c>
      <c r="AS756" s="102">
        <v>32329132726</v>
      </c>
      <c r="AT756" s="104">
        <v>43661217726</v>
      </c>
      <c r="AU756" s="55">
        <f t="shared" si="543"/>
        <v>11887996</v>
      </c>
      <c r="AV756" s="99">
        <f t="shared" si="544"/>
        <v>17455268733.599998</v>
      </c>
    </row>
    <row r="757" spans="1:48" ht="15">
      <c r="A757" s="28">
        <v>44782</v>
      </c>
      <c r="B757" s="65">
        <v>24372145000</v>
      </c>
      <c r="C757" s="65">
        <v>21123075000</v>
      </c>
      <c r="D757" s="65"/>
      <c r="E757" s="65"/>
      <c r="F757" s="65">
        <f t="shared" ref="F757:F759" si="555">SUM(B757:E757)</f>
        <v>45495220000</v>
      </c>
      <c r="G757" s="65">
        <f t="shared" ref="G757:G759" si="556">ROUND(F757*0.027%,0)</f>
        <v>12283709</v>
      </c>
      <c r="H757" s="58">
        <f t="shared" ref="H757:H759" si="557">J757-I757</f>
        <v>5747291000</v>
      </c>
      <c r="I757" s="58"/>
      <c r="J757" s="58">
        <v>5747291000</v>
      </c>
      <c r="K757" s="58"/>
      <c r="L757" s="58">
        <f t="shared" si="550"/>
        <v>3139828000</v>
      </c>
      <c r="M757" s="58"/>
      <c r="N757" s="152">
        <v>3139828000</v>
      </c>
      <c r="O757" s="58">
        <f t="shared" si="551"/>
        <v>193292000</v>
      </c>
      <c r="P757" s="58"/>
      <c r="Q757" s="58">
        <v>193292000</v>
      </c>
      <c r="R757" s="58">
        <f t="shared" si="552"/>
        <v>936729000</v>
      </c>
      <c r="S757" s="58"/>
      <c r="T757" s="58">
        <v>936729000</v>
      </c>
      <c r="U757" s="58">
        <f t="shared" si="553"/>
        <v>133205000</v>
      </c>
      <c r="V757" s="58"/>
      <c r="W757" s="152">
        <v>133205000</v>
      </c>
      <c r="X757" s="58">
        <f t="shared" si="554"/>
        <v>438950000</v>
      </c>
      <c r="Y757" s="58"/>
      <c r="Z757" s="58">
        <v>438950000</v>
      </c>
      <c r="AA757" s="122"/>
      <c r="AB757" s="122"/>
      <c r="AC757" s="122"/>
      <c r="AD757" s="122"/>
      <c r="AE757" s="122"/>
      <c r="AF757" s="122"/>
      <c r="AG757" s="122"/>
      <c r="AH757" s="122"/>
      <c r="AI757" s="122"/>
      <c r="AJ757" s="121">
        <f t="shared" si="549"/>
        <v>1143644</v>
      </c>
      <c r="AK757" s="66">
        <v>48450</v>
      </c>
      <c r="AL757" s="54">
        <v>44782</v>
      </c>
      <c r="AM757" s="116">
        <v>593</v>
      </c>
      <c r="AN757" s="42">
        <f>1581*2550</f>
        <v>4031550</v>
      </c>
      <c r="AO757" s="125">
        <f t="shared" ref="AO757:AO759" si="558">AM757*2700</f>
        <v>1601100</v>
      </c>
      <c r="AP757" s="59"/>
      <c r="AQ757" s="102">
        <v>36816354000000</v>
      </c>
      <c r="AR757" s="102">
        <v>148842730000</v>
      </c>
      <c r="AS757" s="102">
        <v>11504095668</v>
      </c>
      <c r="AT757" s="104">
        <v>56999315668</v>
      </c>
      <c r="AU757" s="55">
        <f t="shared" si="543"/>
        <v>19108453</v>
      </c>
      <c r="AV757" s="99">
        <f t="shared" si="544"/>
        <v>17474377186.599998</v>
      </c>
    </row>
    <row r="758" spans="1:48" ht="15">
      <c r="A758" s="28">
        <v>44783</v>
      </c>
      <c r="B758" s="65">
        <v>1261580000</v>
      </c>
      <c r="C758" s="65">
        <v>4424870000</v>
      </c>
      <c r="D758" s="65"/>
      <c r="E758" s="65"/>
      <c r="F758" s="65">
        <f t="shared" si="555"/>
        <v>5686450000</v>
      </c>
      <c r="G758" s="65">
        <f t="shared" si="556"/>
        <v>1535342</v>
      </c>
      <c r="H758" s="58">
        <f t="shared" si="557"/>
        <v>1237893000</v>
      </c>
      <c r="I758" s="58">
        <v>6488500000</v>
      </c>
      <c r="J758" s="58">
        <v>7726393000</v>
      </c>
      <c r="K758" s="58"/>
      <c r="L758" s="58">
        <f t="shared" si="550"/>
        <v>12632888000</v>
      </c>
      <c r="M758" s="58">
        <v>18794000000</v>
      </c>
      <c r="N758" s="152">
        <v>31426888000</v>
      </c>
      <c r="O758" s="58">
        <f t="shared" si="551"/>
        <v>866767000</v>
      </c>
      <c r="P758" s="58"/>
      <c r="Q758" s="58">
        <v>866767000</v>
      </c>
      <c r="R758" s="58">
        <f t="shared" si="552"/>
        <v>2750723000</v>
      </c>
      <c r="S758" s="58"/>
      <c r="T758" s="58">
        <v>2750723000</v>
      </c>
      <c r="U758" s="58">
        <f t="shared" si="553"/>
        <v>96759000</v>
      </c>
      <c r="V758" s="58"/>
      <c r="W758" s="152">
        <v>96759000</v>
      </c>
      <c r="X758" s="58">
        <f t="shared" si="554"/>
        <v>428952000</v>
      </c>
      <c r="Y758" s="58"/>
      <c r="Z758" s="58">
        <v>428952000</v>
      </c>
      <c r="AA758" s="122"/>
      <c r="AB758" s="122"/>
      <c r="AC758" s="122"/>
      <c r="AD758" s="122"/>
      <c r="AE758" s="122"/>
      <c r="AF758" s="122"/>
      <c r="AG758" s="122"/>
      <c r="AH758" s="122"/>
      <c r="AI758" s="122"/>
      <c r="AJ758" s="121">
        <f t="shared" si="549"/>
        <v>6496360</v>
      </c>
      <c r="AK758" s="66">
        <v>302070</v>
      </c>
      <c r="AL758" s="54">
        <v>44783</v>
      </c>
      <c r="AM758" s="116">
        <v>163</v>
      </c>
      <c r="AN758" s="42">
        <f>1580*2550</f>
        <v>4029000</v>
      </c>
      <c r="AO758" s="125">
        <f t="shared" si="558"/>
        <v>440100</v>
      </c>
      <c r="AP758" s="59"/>
      <c r="AQ758" s="102">
        <v>34360828000000</v>
      </c>
      <c r="AR758" s="102">
        <v>212940942000</v>
      </c>
      <c r="AS758" s="102">
        <v>69497645916</v>
      </c>
      <c r="AT758" s="104">
        <v>75184095916</v>
      </c>
      <c r="AU758" s="55">
        <f t="shared" si="543"/>
        <v>12802872</v>
      </c>
      <c r="AV758" s="99">
        <f t="shared" si="544"/>
        <v>17487180058.599998</v>
      </c>
    </row>
    <row r="759" spans="1:48" ht="15">
      <c r="A759" s="28">
        <v>44784</v>
      </c>
      <c r="B759" s="65">
        <v>38637285000</v>
      </c>
      <c r="C759" s="65">
        <v>1775930000</v>
      </c>
      <c r="D759" s="65"/>
      <c r="E759" s="65"/>
      <c r="F759" s="65">
        <f t="shared" si="555"/>
        <v>40413215000</v>
      </c>
      <c r="G759" s="65">
        <f t="shared" si="556"/>
        <v>10911568</v>
      </c>
      <c r="H759" s="58">
        <f t="shared" si="557"/>
        <v>11410151000</v>
      </c>
      <c r="I759" s="58">
        <v>4317600000</v>
      </c>
      <c r="J759" s="58">
        <v>15727751000</v>
      </c>
      <c r="K759" s="58"/>
      <c r="L759" s="58">
        <f t="shared" si="550"/>
        <v>13350988000</v>
      </c>
      <c r="M759" s="58">
        <v>15986500000</v>
      </c>
      <c r="N759" s="152">
        <v>29337488000</v>
      </c>
      <c r="O759" s="58">
        <f t="shared" si="551"/>
        <v>834266000</v>
      </c>
      <c r="P759" s="58"/>
      <c r="Q759" s="58">
        <v>834266000</v>
      </c>
      <c r="R759" s="58">
        <f t="shared" si="552"/>
        <v>1034132000</v>
      </c>
      <c r="S759" s="58"/>
      <c r="T759" s="58">
        <v>1034132000</v>
      </c>
      <c r="U759" s="58">
        <f t="shared" si="553"/>
        <v>52676000</v>
      </c>
      <c r="V759" s="58"/>
      <c r="W759" s="152">
        <v>52676000</v>
      </c>
      <c r="X759" s="58">
        <f t="shared" si="554"/>
        <v>449271000</v>
      </c>
      <c r="Y759" s="122"/>
      <c r="Z759" s="58">
        <v>449271000</v>
      </c>
      <c r="AA759" s="122"/>
      <c r="AB759" s="122"/>
      <c r="AC759" s="122"/>
      <c r="AD759" s="122"/>
      <c r="AE759" s="122"/>
      <c r="AF759" s="122"/>
      <c r="AG759" s="122"/>
      <c r="AH759" s="122"/>
      <c r="AI759" s="122"/>
      <c r="AJ759" s="121">
        <f t="shared" si="549"/>
        <v>6584938</v>
      </c>
      <c r="AK759" s="66">
        <v>291600</v>
      </c>
      <c r="AL759" s="54">
        <v>44784</v>
      </c>
      <c r="AM759" s="116">
        <v>526</v>
      </c>
      <c r="AN759" s="42">
        <f>1900*2550</f>
        <v>4845000</v>
      </c>
      <c r="AO759" s="125">
        <f t="shared" si="558"/>
        <v>1420200</v>
      </c>
      <c r="AP759" s="59"/>
      <c r="AQ759" s="102">
        <v>45073274000000</v>
      </c>
      <c r="AR759" s="102">
        <v>112882362000</v>
      </c>
      <c r="AS759" s="102">
        <v>68782859933</v>
      </c>
      <c r="AT759" s="104">
        <v>109196074933</v>
      </c>
      <c r="AU759" s="55">
        <f t="shared" si="543"/>
        <v>24053306</v>
      </c>
      <c r="AV759" s="99">
        <f t="shared" si="544"/>
        <v>17511233364.599998</v>
      </c>
    </row>
    <row r="760" spans="1:48" ht="15">
      <c r="A760" s="28">
        <v>44785</v>
      </c>
      <c r="B760" s="65">
        <v>16401045000</v>
      </c>
      <c r="C760" s="65"/>
      <c r="D760" s="65"/>
      <c r="E760" s="65"/>
      <c r="F760" s="65">
        <f>SUM(B760:E760)</f>
        <v>16401045000</v>
      </c>
      <c r="G760" s="65">
        <f>ROUND(F760*0.027%,0)</f>
        <v>4428282</v>
      </c>
      <c r="H760" s="58">
        <f>J760-I760</f>
        <v>193962000</v>
      </c>
      <c r="I760" s="58"/>
      <c r="J760" s="58">
        <v>193962000</v>
      </c>
      <c r="K760" s="58"/>
      <c r="L760" s="58">
        <f>N760-M760</f>
        <v>8167502000</v>
      </c>
      <c r="M760" s="58"/>
      <c r="N760" s="58">
        <v>8167502000</v>
      </c>
      <c r="O760" s="58">
        <f>Q760-P760</f>
        <v>756435000</v>
      </c>
      <c r="P760" s="58"/>
      <c r="Q760" s="58">
        <v>756435000</v>
      </c>
      <c r="R760" s="58">
        <f>T760-S760</f>
        <v>829408000</v>
      </c>
      <c r="S760" s="58"/>
      <c r="T760" s="58">
        <v>829408000</v>
      </c>
      <c r="U760" s="58">
        <f>W760-V760</f>
        <v>365226000</v>
      </c>
      <c r="V760" s="58"/>
      <c r="W760" s="152">
        <v>365226000</v>
      </c>
      <c r="X760" s="58">
        <f>Z760-Y760</f>
        <v>431060000</v>
      </c>
      <c r="Y760" s="58"/>
      <c r="Z760" s="58">
        <v>431060000</v>
      </c>
      <c r="AA760" s="122"/>
      <c r="AB760" s="122"/>
      <c r="AC760" s="122"/>
      <c r="AD760" s="122"/>
      <c r="AE760" s="122"/>
      <c r="AF760" s="122"/>
      <c r="AG760" s="122"/>
      <c r="AH760" s="122"/>
      <c r="AI760" s="122"/>
      <c r="AJ760" s="121">
        <f t="shared" si="549"/>
        <v>1160308</v>
      </c>
      <c r="AK760" s="66">
        <v>133560</v>
      </c>
      <c r="AL760" s="54">
        <v>44785</v>
      </c>
      <c r="AM760" s="116">
        <v>570</v>
      </c>
      <c r="AN760" s="42">
        <f>1732*2550*3</f>
        <v>13249800</v>
      </c>
      <c r="AO760" s="125">
        <f>AM760*2700</f>
        <v>1539000</v>
      </c>
      <c r="AP760" s="59"/>
      <c r="AQ760" s="102">
        <v>30585130000000</v>
      </c>
      <c r="AR760" s="102">
        <v>73473164000</v>
      </c>
      <c r="AS760" s="102">
        <v>11907532298</v>
      </c>
      <c r="AT760" s="104">
        <v>28308577298</v>
      </c>
      <c r="AU760" s="55">
        <f t="shared" si="543"/>
        <v>20510950</v>
      </c>
      <c r="AV760" s="99">
        <f t="shared" si="544"/>
        <v>17531744314.599998</v>
      </c>
    </row>
    <row r="761" spans="1:48" ht="15">
      <c r="A761" s="28">
        <v>44788</v>
      </c>
      <c r="B761" s="65">
        <v>24178650000</v>
      </c>
      <c r="C761" s="65"/>
      <c r="D761" s="65"/>
      <c r="E761" s="65"/>
      <c r="F761" s="65">
        <f>SUM(B761:E761)</f>
        <v>24178650000</v>
      </c>
      <c r="G761" s="65">
        <f>ROUND(F761*0.027%,0)</f>
        <v>6528236</v>
      </c>
      <c r="H761" s="58">
        <f>J761-I761</f>
        <v>291259000</v>
      </c>
      <c r="I761" s="58"/>
      <c r="J761" s="58">
        <v>291259000</v>
      </c>
      <c r="K761" s="58"/>
      <c r="L761" s="58">
        <f t="shared" ref="L761:L764" si="559">N761-M761</f>
        <v>3153267000</v>
      </c>
      <c r="M761" s="58"/>
      <c r="N761" s="152">
        <v>3153267000</v>
      </c>
      <c r="O761" s="58">
        <f t="shared" ref="O761:O764" si="560">Q761-P761</f>
        <v>1993080000</v>
      </c>
      <c r="P761" s="58"/>
      <c r="Q761" s="58">
        <v>1993080000</v>
      </c>
      <c r="R761" s="58">
        <f t="shared" ref="R761:R764" si="561">T761-S761</f>
        <v>833721000</v>
      </c>
      <c r="S761" s="58"/>
      <c r="T761" s="58">
        <v>833721000</v>
      </c>
      <c r="U761" s="58">
        <f t="shared" ref="U761:U764" si="562">W761-V761</f>
        <v>102578000</v>
      </c>
      <c r="V761" s="58"/>
      <c r="W761" s="152">
        <v>102578000</v>
      </c>
      <c r="X761" s="58">
        <f t="shared" ref="X761:X764" si="563">Z761-Y761</f>
        <v>446554000</v>
      </c>
      <c r="Y761" s="58"/>
      <c r="Z761" s="58">
        <v>446554000</v>
      </c>
      <c r="AA761" s="122"/>
      <c r="AB761" s="122"/>
      <c r="AC761" s="122"/>
      <c r="AD761" s="122"/>
      <c r="AE761" s="122"/>
      <c r="AF761" s="122"/>
      <c r="AG761" s="122"/>
      <c r="AH761" s="122"/>
      <c r="AI761" s="122"/>
      <c r="AJ761" s="121">
        <f t="shared" si="549"/>
        <v>736610</v>
      </c>
      <c r="AK761" s="66">
        <v>43380</v>
      </c>
      <c r="AL761" s="54">
        <v>44788</v>
      </c>
      <c r="AM761" s="116">
        <v>711</v>
      </c>
      <c r="AN761" s="42">
        <f>1767*2550</f>
        <v>4505850</v>
      </c>
      <c r="AO761" s="125">
        <f>AM761*2700</f>
        <v>1919700</v>
      </c>
      <c r="AP761" s="59"/>
      <c r="AQ761" s="102">
        <v>35676678000000</v>
      </c>
      <c r="AR761" s="102">
        <v>177294426000</v>
      </c>
      <c r="AS761" s="102">
        <v>7741659371</v>
      </c>
      <c r="AT761" s="104">
        <v>31920309371</v>
      </c>
      <c r="AU761" s="55">
        <f t="shared" si="543"/>
        <v>13733776</v>
      </c>
      <c r="AV761" s="99">
        <f t="shared" si="544"/>
        <v>17545478090.599998</v>
      </c>
    </row>
    <row r="762" spans="1:48" ht="15">
      <c r="A762" s="28">
        <v>44789</v>
      </c>
      <c r="B762" s="65">
        <v>57350800000</v>
      </c>
      <c r="C762" s="65"/>
      <c r="D762" s="65"/>
      <c r="E762" s="65"/>
      <c r="F762" s="65">
        <f t="shared" ref="F762:F764" si="564">SUM(B762:E762)</f>
        <v>57350800000</v>
      </c>
      <c r="G762" s="65">
        <f t="shared" ref="G762:G764" si="565">ROUND(F762*0.027%,0)</f>
        <v>15484716</v>
      </c>
      <c r="H762" s="58">
        <f t="shared" ref="H762:H764" si="566">J762-I762</f>
        <v>0</v>
      </c>
      <c r="I762" s="58">
        <v>2192000000</v>
      </c>
      <c r="J762" s="58">
        <v>2192000000</v>
      </c>
      <c r="K762" s="58"/>
      <c r="L762" s="58">
        <f t="shared" si="559"/>
        <v>6135957000</v>
      </c>
      <c r="M762" s="58"/>
      <c r="N762" s="152">
        <v>6135957000</v>
      </c>
      <c r="O762" s="58">
        <f t="shared" si="560"/>
        <v>998769000</v>
      </c>
      <c r="P762" s="58"/>
      <c r="Q762" s="58">
        <v>998769000</v>
      </c>
      <c r="R762" s="58">
        <f t="shared" si="561"/>
        <v>1295982000</v>
      </c>
      <c r="S762" s="58"/>
      <c r="T762" s="58">
        <v>1295982000</v>
      </c>
      <c r="U762" s="58">
        <f t="shared" si="562"/>
        <v>40151000</v>
      </c>
      <c r="V762" s="58"/>
      <c r="W762" s="152">
        <v>40151000</v>
      </c>
      <c r="X762" s="58">
        <f t="shared" si="563"/>
        <v>502108000</v>
      </c>
      <c r="Y762" s="58"/>
      <c r="Z762" s="58">
        <v>502108000</v>
      </c>
      <c r="AA762" s="122"/>
      <c r="AB762" s="122"/>
      <c r="AC762" s="122"/>
      <c r="AD762" s="122"/>
      <c r="AE762" s="122"/>
      <c r="AF762" s="122"/>
      <c r="AG762" s="122"/>
      <c r="AH762" s="122"/>
      <c r="AI762" s="122"/>
      <c r="AJ762" s="121">
        <f t="shared" si="549"/>
        <v>1363640</v>
      </c>
      <c r="AK762" s="66">
        <v>209940</v>
      </c>
      <c r="AL762" s="54">
        <v>44789</v>
      </c>
      <c r="AM762" s="116">
        <v>1234</v>
      </c>
      <c r="AN762" s="42">
        <f>1945*2550</f>
        <v>4959750</v>
      </c>
      <c r="AO762" s="125">
        <f t="shared" ref="AO762:AO764" si="567">AM762*2700</f>
        <v>3331800</v>
      </c>
      <c r="AP762" s="59"/>
      <c r="AQ762" s="102">
        <v>34945300000000</v>
      </c>
      <c r="AR762" s="102">
        <v>136412252000</v>
      </c>
      <c r="AS762" s="102">
        <v>14282467715</v>
      </c>
      <c r="AT762" s="104">
        <v>71633267715</v>
      </c>
      <c r="AU762" s="55">
        <f t="shared" si="543"/>
        <v>25349846</v>
      </c>
      <c r="AV762" s="99">
        <f t="shared" si="544"/>
        <v>17570827936.599998</v>
      </c>
    </row>
    <row r="763" spans="1:48" ht="15">
      <c r="A763" s="28">
        <v>44790</v>
      </c>
      <c r="B763" s="65">
        <v>51938347000</v>
      </c>
      <c r="C763" s="65"/>
      <c r="D763" s="65"/>
      <c r="E763" s="65"/>
      <c r="F763" s="65">
        <f t="shared" si="564"/>
        <v>51938347000</v>
      </c>
      <c r="G763" s="65">
        <f t="shared" si="565"/>
        <v>14023354</v>
      </c>
      <c r="H763" s="58">
        <f t="shared" si="566"/>
        <v>67985000</v>
      </c>
      <c r="I763" s="58"/>
      <c r="J763" s="58">
        <v>67985000</v>
      </c>
      <c r="K763" s="58"/>
      <c r="L763" s="58">
        <f t="shared" si="559"/>
        <v>8459733000</v>
      </c>
      <c r="M763" s="58"/>
      <c r="N763" s="152">
        <v>8459733000</v>
      </c>
      <c r="O763" s="58">
        <f t="shared" si="560"/>
        <v>3001365000</v>
      </c>
      <c r="P763" s="58"/>
      <c r="Q763" s="58">
        <v>3001365000</v>
      </c>
      <c r="R763" s="58">
        <f t="shared" si="561"/>
        <v>896617000</v>
      </c>
      <c r="S763" s="58"/>
      <c r="T763" s="58">
        <v>896617000</v>
      </c>
      <c r="U763" s="58">
        <f t="shared" si="562"/>
        <v>513045000</v>
      </c>
      <c r="V763" s="58"/>
      <c r="W763" s="152">
        <v>513045000</v>
      </c>
      <c r="X763" s="58">
        <f t="shared" si="563"/>
        <v>456213000</v>
      </c>
      <c r="Y763" s="58">
        <v>39950000000</v>
      </c>
      <c r="Z763" s="58">
        <v>40406213000</v>
      </c>
      <c r="AA763" s="122"/>
      <c r="AB763" s="122"/>
      <c r="AC763" s="122"/>
      <c r="AD763" s="122"/>
      <c r="AE763" s="122"/>
      <c r="AF763" s="122"/>
      <c r="AG763" s="122"/>
      <c r="AH763" s="122"/>
      <c r="AI763" s="122"/>
      <c r="AJ763" s="121">
        <f t="shared" si="549"/>
        <v>8637655</v>
      </c>
      <c r="AK763" s="66">
        <v>1489080</v>
      </c>
      <c r="AL763" s="54">
        <v>44790</v>
      </c>
      <c r="AM763" s="116">
        <v>534</v>
      </c>
      <c r="AN763" s="42">
        <f>1943*2550</f>
        <v>4954650</v>
      </c>
      <c r="AO763" s="125">
        <f t="shared" si="567"/>
        <v>1441800</v>
      </c>
      <c r="AP763" s="59"/>
      <c r="AQ763" s="102">
        <v>41284414000000</v>
      </c>
      <c r="AR763" s="102">
        <v>127778568000</v>
      </c>
      <c r="AS763" s="102">
        <v>94221027159</v>
      </c>
      <c r="AT763" s="104">
        <v>146159374159</v>
      </c>
      <c r="AU763" s="55">
        <f t="shared" si="543"/>
        <v>30546539</v>
      </c>
      <c r="AV763" s="99">
        <f t="shared" si="544"/>
        <v>17601374475.599998</v>
      </c>
    </row>
    <row r="764" spans="1:48" ht="15">
      <c r="A764" s="28">
        <v>44791</v>
      </c>
      <c r="B764" s="65">
        <v>83855054000</v>
      </c>
      <c r="C764" s="65">
        <v>12719315000</v>
      </c>
      <c r="D764" s="65"/>
      <c r="E764" s="65"/>
      <c r="F764" s="65">
        <f t="shared" si="564"/>
        <v>96574369000</v>
      </c>
      <c r="G764" s="65">
        <f t="shared" si="565"/>
        <v>26075080</v>
      </c>
      <c r="H764" s="58">
        <f t="shared" si="566"/>
        <v>4861568000</v>
      </c>
      <c r="I764" s="58"/>
      <c r="J764" s="58">
        <v>4861568000</v>
      </c>
      <c r="K764" s="58"/>
      <c r="L764" s="58">
        <f t="shared" si="559"/>
        <v>10287352000</v>
      </c>
      <c r="M764" s="58">
        <v>10843000000</v>
      </c>
      <c r="N764" s="152">
        <v>21130352000</v>
      </c>
      <c r="O764" s="58">
        <f t="shared" si="560"/>
        <v>2498912000</v>
      </c>
      <c r="P764" s="58"/>
      <c r="Q764" s="58">
        <v>2498912000</v>
      </c>
      <c r="R764" s="58">
        <f t="shared" si="561"/>
        <v>1117017000</v>
      </c>
      <c r="S764" s="58"/>
      <c r="T764" s="58">
        <v>1117017000</v>
      </c>
      <c r="U764" s="58">
        <f t="shared" si="562"/>
        <v>41842000</v>
      </c>
      <c r="V764" s="58"/>
      <c r="W764" s="152">
        <v>41842000</v>
      </c>
      <c r="X764" s="58">
        <f t="shared" si="563"/>
        <v>444552000</v>
      </c>
      <c r="Y764" s="122"/>
      <c r="Z764" s="58">
        <v>444552000</v>
      </c>
      <c r="AA764" s="122"/>
      <c r="AB764" s="122"/>
      <c r="AC764" s="122"/>
      <c r="AD764" s="122"/>
      <c r="AE764" s="122"/>
      <c r="AF764" s="122"/>
      <c r="AG764" s="122"/>
      <c r="AH764" s="122"/>
      <c r="AI764" s="122"/>
      <c r="AJ764" s="121">
        <f t="shared" si="549"/>
        <v>4030874</v>
      </c>
      <c r="AK764" s="66">
        <v>667740</v>
      </c>
      <c r="AL764" s="54">
        <v>44791</v>
      </c>
      <c r="AM764" s="116">
        <v>530</v>
      </c>
      <c r="AN764" s="42">
        <f>(1716+77)*2550</f>
        <v>4572150</v>
      </c>
      <c r="AO764" s="125">
        <f t="shared" si="567"/>
        <v>1431000</v>
      </c>
      <c r="AP764" s="59"/>
      <c r="AQ764" s="102">
        <v>35228264000000</v>
      </c>
      <c r="AR764" s="102">
        <v>102078822000</v>
      </c>
      <c r="AS764" s="102">
        <v>42054439719</v>
      </c>
      <c r="AT764" s="104">
        <v>138628808719</v>
      </c>
      <c r="AU764" s="55">
        <f t="shared" si="543"/>
        <v>36776844</v>
      </c>
      <c r="AV764" s="99">
        <f t="shared" si="544"/>
        <v>17638151319.599998</v>
      </c>
    </row>
    <row r="765" spans="1:48" ht="15">
      <c r="A765" s="28">
        <v>44792</v>
      </c>
      <c r="B765" s="65">
        <v>12722765000</v>
      </c>
      <c r="C765" s="65"/>
      <c r="D765" s="65"/>
      <c r="E765" s="65">
        <v>13685755000</v>
      </c>
      <c r="F765" s="65">
        <f>SUM(B765:E765)</f>
        <v>26408520000</v>
      </c>
      <c r="G765" s="65">
        <f>ROUND(F765*0.027%,0)</f>
        <v>7130300</v>
      </c>
      <c r="H765" s="58">
        <f>J765-I765</f>
        <v>299098000</v>
      </c>
      <c r="I765" s="58">
        <v>92094000000</v>
      </c>
      <c r="J765" s="58">
        <v>92393098000</v>
      </c>
      <c r="K765" s="58"/>
      <c r="L765" s="58">
        <f>N765-M765</f>
        <v>6429478000</v>
      </c>
      <c r="M765" s="58"/>
      <c r="N765" s="58">
        <v>6429478000</v>
      </c>
      <c r="O765" s="58">
        <f>Q765-P765</f>
        <v>2980939000</v>
      </c>
      <c r="P765" s="58"/>
      <c r="Q765" s="58">
        <v>2980939000</v>
      </c>
      <c r="R765" s="58">
        <f>T765-S765</f>
        <v>1018857000</v>
      </c>
      <c r="S765" s="58"/>
      <c r="T765" s="58">
        <v>1018857000</v>
      </c>
      <c r="U765" s="58">
        <f>W765-V765</f>
        <v>169587000</v>
      </c>
      <c r="V765" s="58"/>
      <c r="W765" s="152">
        <v>169587000</v>
      </c>
      <c r="X765" s="58">
        <f>Z765-Y765</f>
        <v>449398000</v>
      </c>
      <c r="Y765" s="58"/>
      <c r="Z765" s="58">
        <v>449398000</v>
      </c>
      <c r="AA765" s="122"/>
      <c r="AB765" s="122"/>
      <c r="AC765" s="122"/>
      <c r="AD765" s="122"/>
      <c r="AE765" s="122"/>
      <c r="AF765" s="122"/>
      <c r="AG765" s="122"/>
      <c r="AH765" s="122"/>
      <c r="AI765" s="122"/>
      <c r="AJ765" s="121">
        <f t="shared" si="549"/>
        <v>17802435</v>
      </c>
      <c r="AK765" s="66">
        <v>218460</v>
      </c>
      <c r="AL765" s="54">
        <v>44792</v>
      </c>
      <c r="AM765" s="116">
        <v>706</v>
      </c>
      <c r="AN765" s="42">
        <f>2146*2550*3</f>
        <v>16416900</v>
      </c>
      <c r="AO765" s="125">
        <f>AM765*2700</f>
        <v>1906200</v>
      </c>
      <c r="AP765" s="59"/>
      <c r="AQ765" s="102">
        <v>34662704000000</v>
      </c>
      <c r="AR765" s="102">
        <v>250086490000</v>
      </c>
      <c r="AS765" s="102">
        <v>196688248509</v>
      </c>
      <c r="AT765" s="104">
        <v>223096768509</v>
      </c>
      <c r="AU765" s="55">
        <f t="shared" si="543"/>
        <v>43474295</v>
      </c>
      <c r="AV765" s="99">
        <f t="shared" si="544"/>
        <v>17681625614.599998</v>
      </c>
    </row>
    <row r="766" spans="1:48" ht="15">
      <c r="A766" s="28">
        <v>44795</v>
      </c>
      <c r="B766" s="65">
        <v>33320190000</v>
      </c>
      <c r="C766" s="65"/>
      <c r="D766" s="65"/>
      <c r="E766" s="65"/>
      <c r="F766" s="65">
        <f>SUM(B766:E766)</f>
        <v>33320190000</v>
      </c>
      <c r="G766" s="65">
        <f>ROUND(F766*0.027%,0)</f>
        <v>8996451</v>
      </c>
      <c r="H766" s="58">
        <f>J766-I766</f>
        <v>6853460000</v>
      </c>
      <c r="I766" s="58"/>
      <c r="J766" s="58">
        <v>6853460000</v>
      </c>
      <c r="K766" s="58"/>
      <c r="L766" s="58">
        <f t="shared" ref="L766:L769" si="568">N766-M766</f>
        <v>15227163000</v>
      </c>
      <c r="M766" s="58"/>
      <c r="N766" s="152">
        <v>15227163000</v>
      </c>
      <c r="O766" s="58">
        <f t="shared" ref="O766:O769" si="569">Q766-P766</f>
        <v>2168784000</v>
      </c>
      <c r="P766" s="58"/>
      <c r="Q766" s="58">
        <v>2168784000</v>
      </c>
      <c r="R766" s="58">
        <f t="shared" ref="R766:R769" si="570">T766-S766</f>
        <v>1437200000</v>
      </c>
      <c r="S766" s="58"/>
      <c r="T766" s="58">
        <v>1437200000</v>
      </c>
      <c r="U766" s="58">
        <f t="shared" ref="U766:U769" si="571">W766-V766</f>
        <v>25426000</v>
      </c>
      <c r="V766" s="58"/>
      <c r="W766" s="152">
        <v>25426000</v>
      </c>
      <c r="X766" s="58">
        <f t="shared" ref="X766:X769" si="572">Z766-Y766</f>
        <v>439001000</v>
      </c>
      <c r="Y766" s="58"/>
      <c r="Z766" s="58">
        <v>439001000</v>
      </c>
      <c r="AA766" s="122"/>
      <c r="AB766" s="122"/>
      <c r="AC766" s="122"/>
      <c r="AD766" s="122"/>
      <c r="AE766" s="122"/>
      <c r="AF766" s="122"/>
      <c r="AG766" s="122"/>
      <c r="AH766" s="122"/>
      <c r="AI766" s="122"/>
      <c r="AJ766" s="121">
        <f t="shared" si="549"/>
        <v>2824312</v>
      </c>
      <c r="AK766" s="66">
        <v>450990</v>
      </c>
      <c r="AL766" s="54">
        <v>44795</v>
      </c>
      <c r="AM766" s="116">
        <v>582</v>
      </c>
      <c r="AN766" s="42">
        <f>1928*2550</f>
        <v>4916400</v>
      </c>
      <c r="AO766" s="125">
        <f>AM766*2700</f>
        <v>1571400</v>
      </c>
      <c r="AP766" s="59"/>
      <c r="AQ766" s="102">
        <v>35337862000000</v>
      </c>
      <c r="AR766" s="102">
        <v>88234778000</v>
      </c>
      <c r="AS766" s="102">
        <v>27489567371</v>
      </c>
      <c r="AT766" s="104">
        <v>60809757371</v>
      </c>
      <c r="AU766" s="55">
        <f t="shared" si="543"/>
        <v>18759553</v>
      </c>
      <c r="AV766" s="99">
        <f t="shared" si="544"/>
        <v>17700385167.599998</v>
      </c>
    </row>
    <row r="767" spans="1:48" ht="15">
      <c r="A767" s="28">
        <v>44796</v>
      </c>
      <c r="B767" s="65">
        <v>24944405000</v>
      </c>
      <c r="C767" s="65"/>
      <c r="D767" s="65"/>
      <c r="E767" s="65"/>
      <c r="F767" s="65">
        <f t="shared" ref="F767:F769" si="573">SUM(B767:E767)</f>
        <v>24944405000</v>
      </c>
      <c r="G767" s="65">
        <f t="shared" ref="G767:G769" si="574">ROUND(F767*0.027%,0)</f>
        <v>6734989</v>
      </c>
      <c r="H767" s="58">
        <f t="shared" ref="H767:H769" si="575">J767-I767</f>
        <v>998260000</v>
      </c>
      <c r="I767" s="58">
        <v>4326800000</v>
      </c>
      <c r="J767" s="58">
        <v>5325060000</v>
      </c>
      <c r="K767" s="58"/>
      <c r="L767" s="58">
        <f t="shared" si="568"/>
        <v>21298688000</v>
      </c>
      <c r="M767" s="58">
        <v>9446000000</v>
      </c>
      <c r="N767" s="152">
        <v>30744688000</v>
      </c>
      <c r="O767" s="58">
        <f t="shared" si="569"/>
        <v>3938440000</v>
      </c>
      <c r="P767" s="58"/>
      <c r="Q767" s="58">
        <v>3938440000</v>
      </c>
      <c r="R767" s="58">
        <f t="shared" si="570"/>
        <v>1050496000</v>
      </c>
      <c r="S767" s="58"/>
      <c r="T767" s="58">
        <v>1050496000</v>
      </c>
      <c r="U767" s="58">
        <f t="shared" si="571"/>
        <v>347522000</v>
      </c>
      <c r="V767" s="58"/>
      <c r="W767" s="152">
        <v>347522000</v>
      </c>
      <c r="X767" s="58">
        <f t="shared" si="572"/>
        <v>415500000</v>
      </c>
      <c r="Y767" s="58"/>
      <c r="Z767" s="58">
        <v>415500000</v>
      </c>
      <c r="AA767" s="122"/>
      <c r="AB767" s="122"/>
      <c r="AC767" s="122"/>
      <c r="AD767" s="122"/>
      <c r="AE767" s="122"/>
      <c r="AF767" s="122"/>
      <c r="AG767" s="122"/>
      <c r="AH767" s="122"/>
      <c r="AI767" s="122"/>
      <c r="AJ767" s="121">
        <f t="shared" si="549"/>
        <v>5508386</v>
      </c>
      <c r="AK767" s="66">
        <v>369420</v>
      </c>
      <c r="AL767" s="54">
        <v>44796</v>
      </c>
      <c r="AM767" s="116">
        <v>384</v>
      </c>
      <c r="AN767" s="42">
        <f>1898*2550</f>
        <v>4839900</v>
      </c>
      <c r="AO767" s="125">
        <f t="shared" ref="AO767:AO769" si="576">AM767*2700</f>
        <v>1036800</v>
      </c>
      <c r="AP767" s="59">
        <f>45100810 + 77036430</f>
        <v>122137240</v>
      </c>
      <c r="AQ767" s="102">
        <v>33938260000000</v>
      </c>
      <c r="AR767" s="102">
        <v>121108180000</v>
      </c>
      <c r="AS767" s="102">
        <v>56924103240</v>
      </c>
      <c r="AT767" s="104">
        <v>81868508240</v>
      </c>
      <c r="AU767" s="55">
        <f t="shared" si="543"/>
        <v>140626735</v>
      </c>
      <c r="AV767" s="99">
        <f t="shared" si="544"/>
        <v>17841011902.599998</v>
      </c>
    </row>
    <row r="768" spans="1:48" ht="15">
      <c r="A768" s="28">
        <v>44797</v>
      </c>
      <c r="B768" s="65">
        <v>30738355000</v>
      </c>
      <c r="C768" s="65">
        <v>34630120000</v>
      </c>
      <c r="D768" s="65">
        <v>4791435000</v>
      </c>
      <c r="E768" s="65"/>
      <c r="F768" s="65">
        <f t="shared" si="573"/>
        <v>70159910000</v>
      </c>
      <c r="G768" s="65">
        <f t="shared" si="574"/>
        <v>18943176</v>
      </c>
      <c r="H768" s="58">
        <f t="shared" si="575"/>
        <v>3993536000</v>
      </c>
      <c r="I768" s="58">
        <v>9883750000</v>
      </c>
      <c r="J768" s="58">
        <v>13877286000</v>
      </c>
      <c r="K768" s="58"/>
      <c r="L768" s="58">
        <f t="shared" si="568"/>
        <v>10382788000</v>
      </c>
      <c r="M768" s="58">
        <v>10927500000</v>
      </c>
      <c r="N768" s="152">
        <v>21310288000</v>
      </c>
      <c r="O768" s="58">
        <f t="shared" si="569"/>
        <v>1399584000</v>
      </c>
      <c r="P768" s="58"/>
      <c r="Q768" s="58">
        <v>1399584000</v>
      </c>
      <c r="R768" s="58">
        <f t="shared" si="570"/>
        <v>1156483000</v>
      </c>
      <c r="S768" s="58"/>
      <c r="T768" s="58">
        <v>1156483000</v>
      </c>
      <c r="U768" s="58">
        <f t="shared" si="571"/>
        <v>23922000</v>
      </c>
      <c r="V768" s="58"/>
      <c r="W768" s="152">
        <v>23922000</v>
      </c>
      <c r="X768" s="58">
        <f t="shared" si="572"/>
        <v>437720000</v>
      </c>
      <c r="Y768" s="58"/>
      <c r="Z768" s="58">
        <v>437720000</v>
      </c>
      <c r="AA768" s="122"/>
      <c r="AB768" s="122"/>
      <c r="AC768" s="122"/>
      <c r="AD768" s="122"/>
      <c r="AE768" s="122"/>
      <c r="AF768" s="122"/>
      <c r="AG768" s="122"/>
      <c r="AH768" s="122"/>
      <c r="AI768" s="122"/>
      <c r="AJ768" s="121">
        <f t="shared" si="549"/>
        <v>5624581</v>
      </c>
      <c r="AK768" s="66">
        <f>328170+270</f>
        <v>328440</v>
      </c>
      <c r="AL768" s="54">
        <v>44797</v>
      </c>
      <c r="AM768" s="116">
        <v>703</v>
      </c>
      <c r="AN768" s="42">
        <f>1489*2550</f>
        <v>3796950</v>
      </c>
      <c r="AO768" s="125">
        <f t="shared" si="576"/>
        <v>1898100</v>
      </c>
      <c r="AP768" s="59"/>
      <c r="AQ768" s="102">
        <v>35790006000000</v>
      </c>
      <c r="AR768" s="102">
        <v>91459510000</v>
      </c>
      <c r="AS768" s="102">
        <v>59937331695</v>
      </c>
      <c r="AT768" s="104">
        <v>130097241695</v>
      </c>
      <c r="AU768" s="55">
        <f t="shared" si="543"/>
        <v>30591247</v>
      </c>
      <c r="AV768" s="99">
        <f t="shared" si="544"/>
        <v>17871603149.599998</v>
      </c>
    </row>
    <row r="769" spans="1:48" ht="15">
      <c r="A769" s="28">
        <v>44798</v>
      </c>
      <c r="B769" s="65">
        <v>33081880000</v>
      </c>
      <c r="C769" s="65"/>
      <c r="D769" s="65">
        <v>172280000</v>
      </c>
      <c r="E769" s="65"/>
      <c r="F769" s="65">
        <f t="shared" si="573"/>
        <v>33254160000</v>
      </c>
      <c r="G769" s="65">
        <f t="shared" si="574"/>
        <v>8978623</v>
      </c>
      <c r="H769" s="58">
        <f t="shared" si="575"/>
        <v>1116626000</v>
      </c>
      <c r="I769" s="58">
        <v>37690700000</v>
      </c>
      <c r="J769" s="58">
        <v>38807326000</v>
      </c>
      <c r="K769" s="58"/>
      <c r="L769" s="58">
        <f t="shared" si="568"/>
        <v>5456747000</v>
      </c>
      <c r="M769" s="58"/>
      <c r="N769" s="152">
        <v>5456747000</v>
      </c>
      <c r="O769" s="58">
        <f t="shared" si="569"/>
        <v>1088574000</v>
      </c>
      <c r="P769" s="58"/>
      <c r="Q769" s="58">
        <v>1088574000</v>
      </c>
      <c r="R769" s="58">
        <f t="shared" si="570"/>
        <v>825217000</v>
      </c>
      <c r="S769" s="58"/>
      <c r="T769" s="58">
        <v>825217000</v>
      </c>
      <c r="U769" s="58">
        <f t="shared" si="571"/>
        <v>104680000</v>
      </c>
      <c r="V769" s="58"/>
      <c r="W769" s="152">
        <v>104680000</v>
      </c>
      <c r="X769" s="58">
        <f t="shared" si="572"/>
        <v>447775000</v>
      </c>
      <c r="Y769" s="122">
        <v>48749100000</v>
      </c>
      <c r="Z769" s="58">
        <v>49196875000</v>
      </c>
      <c r="AA769" s="122"/>
      <c r="AB769" s="122"/>
      <c r="AC769" s="122"/>
      <c r="AD769" s="122"/>
      <c r="AE769" s="122"/>
      <c r="AF769" s="122"/>
      <c r="AG769" s="122"/>
      <c r="AH769" s="122"/>
      <c r="AI769" s="122"/>
      <c r="AJ769" s="121">
        <f t="shared" si="549"/>
        <v>16535443</v>
      </c>
      <c r="AK769" s="66">
        <v>1844250</v>
      </c>
      <c r="AL769" s="54">
        <v>44798</v>
      </c>
      <c r="AM769" s="116">
        <v>312</v>
      </c>
      <c r="AN769" s="42">
        <f>1577*2550</f>
        <v>4021350</v>
      </c>
      <c r="AO769" s="125">
        <f t="shared" si="576"/>
        <v>842400</v>
      </c>
      <c r="AP769" s="59"/>
      <c r="AQ769" s="102">
        <v>36066990000000</v>
      </c>
      <c r="AR769" s="102">
        <v>199823472000</v>
      </c>
      <c r="AS769" s="102">
        <v>182343227163</v>
      </c>
      <c r="AT769" s="104">
        <v>215597387163</v>
      </c>
      <c r="AU769" s="55">
        <f t="shared" si="543"/>
        <v>32222066</v>
      </c>
      <c r="AV769" s="99">
        <f t="shared" si="544"/>
        <v>17903825215.599998</v>
      </c>
    </row>
    <row r="770" spans="1:48" ht="15">
      <c r="A770" s="28">
        <v>44799</v>
      </c>
      <c r="B770" s="65">
        <v>4286345000</v>
      </c>
      <c r="C770" s="65"/>
      <c r="D770" s="65"/>
      <c r="E770" s="65"/>
      <c r="F770" s="65">
        <f>SUM(B770:E770)</f>
        <v>4286345000</v>
      </c>
      <c r="G770" s="65">
        <f>ROUND(F770*0.027%,0)</f>
        <v>1157313</v>
      </c>
      <c r="H770" s="58">
        <f>J770-I770</f>
        <v>2823684000</v>
      </c>
      <c r="I770" s="58">
        <v>4434600000</v>
      </c>
      <c r="J770" s="58">
        <v>7258284000</v>
      </c>
      <c r="K770" s="58"/>
      <c r="L770" s="58">
        <f>N770-M770</f>
        <v>21513212000</v>
      </c>
      <c r="M770" s="58">
        <v>8386500000</v>
      </c>
      <c r="N770" s="152">
        <f>21504884000+8394828000</f>
        <v>29899712000</v>
      </c>
      <c r="O770" s="58">
        <f>Q770-P770</f>
        <v>2175322000</v>
      </c>
      <c r="P770" s="58"/>
      <c r="Q770" s="58">
        <f>2173494000+1828000</f>
        <v>2175322000</v>
      </c>
      <c r="R770" s="58">
        <f>T770-S770</f>
        <v>4681271000</v>
      </c>
      <c r="S770" s="58"/>
      <c r="T770" s="58">
        <f>4647224000+34047000</f>
        <v>4681271000</v>
      </c>
      <c r="U770" s="58">
        <f>W770-V770</f>
        <v>87447000</v>
      </c>
      <c r="V770" s="58"/>
      <c r="W770" s="152">
        <f>30810000+56637000</f>
        <v>87447000</v>
      </c>
      <c r="X770" s="58">
        <f>Z770-Y770</f>
        <v>439446000</v>
      </c>
      <c r="Y770" s="58"/>
      <c r="Z770" s="58">
        <f>214606000+224840000</f>
        <v>439446000</v>
      </c>
      <c r="AA770" s="122"/>
      <c r="AB770" s="122"/>
      <c r="AC770" s="122"/>
      <c r="AD770" s="122"/>
      <c r="AE770" s="122"/>
      <c r="AF770" s="122"/>
      <c r="AG770" s="122"/>
      <c r="AH770" s="122"/>
      <c r="AI770" s="122"/>
      <c r="AJ770" s="121">
        <f t="shared" si="549"/>
        <v>5733599</v>
      </c>
      <c r="AK770" s="66">
        <v>479490</v>
      </c>
      <c r="AL770" s="54">
        <v>44799</v>
      </c>
      <c r="AM770" s="116">
        <v>147</v>
      </c>
      <c r="AN770" s="42">
        <f>1430*2550*3+7466400</f>
        <v>18405900</v>
      </c>
      <c r="AO770" s="125">
        <f>AM770*2700</f>
        <v>396900</v>
      </c>
      <c r="AP770" s="59"/>
      <c r="AQ770" s="102">
        <v>38399592000000</v>
      </c>
      <c r="AR770" s="102">
        <v>121394072000</v>
      </c>
      <c r="AS770" s="102">
        <v>57790079905</v>
      </c>
      <c r="AT770" s="104">
        <v>62076424905</v>
      </c>
      <c r="AU770" s="55">
        <f t="shared" si="543"/>
        <v>26173202</v>
      </c>
      <c r="AV770" s="99">
        <f t="shared" si="544"/>
        <v>17929998417.599998</v>
      </c>
    </row>
    <row r="771" spans="1:48" ht="15">
      <c r="A771" s="28">
        <v>44802</v>
      </c>
      <c r="B771" s="65">
        <v>58688655000</v>
      </c>
      <c r="C771" s="65">
        <v>8694630000</v>
      </c>
      <c r="D771" s="65"/>
      <c r="E771" s="65">
        <v>13757860000</v>
      </c>
      <c r="F771" s="65">
        <f t="shared" ref="F771:F773" si="577">SUM(B771:E771)</f>
        <v>81141145000</v>
      </c>
      <c r="G771" s="65">
        <f t="shared" ref="G771:G773" si="578">ROUND(F771*0.027%,0)</f>
        <v>21908109</v>
      </c>
      <c r="H771" s="58">
        <f t="shared" ref="H771:H773" si="579">J771-I771</f>
        <v>5535162000</v>
      </c>
      <c r="I771" s="58">
        <v>6537600000</v>
      </c>
      <c r="J771" s="58">
        <f>5373592000+6699170000</f>
        <v>12072762000</v>
      </c>
      <c r="K771" s="58"/>
      <c r="L771" s="58">
        <f t="shared" ref="L771:L773" si="580">N771-M771</f>
        <v>10630187000</v>
      </c>
      <c r="M771" s="58"/>
      <c r="N771" s="152">
        <f>6742484000+3887703000</f>
        <v>10630187000</v>
      </c>
      <c r="O771" s="58">
        <f t="shared" ref="O771:O773" si="581">Q771-P771</f>
        <v>800445000</v>
      </c>
      <c r="P771" s="58"/>
      <c r="Q771" s="58">
        <f>691821000+108624000</f>
        <v>800445000</v>
      </c>
      <c r="R771" s="58">
        <f t="shared" ref="R771:R773" si="582">T771-S771</f>
        <v>782470000</v>
      </c>
      <c r="S771" s="58"/>
      <c r="T771" s="58">
        <f>312617000+469853000</f>
        <v>782470000</v>
      </c>
      <c r="U771" s="58">
        <f t="shared" ref="U771:U773" si="583">W771-V771</f>
        <v>146118000</v>
      </c>
      <c r="V771" s="58"/>
      <c r="W771" s="152">
        <f>120738000+25380000</f>
        <v>146118000</v>
      </c>
      <c r="X771" s="58">
        <f t="shared" ref="X771:X773" si="584">Z771-Y771</f>
        <v>456305000</v>
      </c>
      <c r="Y771" s="58"/>
      <c r="Z771" s="58">
        <f>247805000+208500000</f>
        <v>456305000</v>
      </c>
      <c r="AA771" s="122"/>
      <c r="AB771" s="122"/>
      <c r="AC771" s="122"/>
      <c r="AD771" s="122"/>
      <c r="AE771" s="122"/>
      <c r="AF771" s="122"/>
      <c r="AG771" s="122"/>
      <c r="AH771" s="122"/>
      <c r="AI771" s="122"/>
      <c r="AJ771" s="121">
        <f t="shared" si="549"/>
        <v>3158642</v>
      </c>
      <c r="AK771" s="66">
        <f>416760+96000</f>
        <v>512760</v>
      </c>
      <c r="AL771" s="54">
        <v>44802</v>
      </c>
      <c r="AM771" s="116">
        <v>663</v>
      </c>
      <c r="AN771" s="42">
        <f>1369*2550</f>
        <v>3490950</v>
      </c>
      <c r="AO771" s="125">
        <f>AM771*2700</f>
        <v>1790100</v>
      </c>
      <c r="AP771" s="59"/>
      <c r="AQ771" s="102">
        <v>48573064000000</v>
      </c>
      <c r="AR771" s="102">
        <v>152920000000</v>
      </c>
      <c r="AS771" s="102">
        <v>32406605544</v>
      </c>
      <c r="AT771" s="104">
        <v>113547750544</v>
      </c>
      <c r="AU771" s="55">
        <f t="shared" si="543"/>
        <v>30860561</v>
      </c>
      <c r="AV771" s="99">
        <f t="shared" si="544"/>
        <v>17960858978.599998</v>
      </c>
    </row>
    <row r="772" spans="1:48" ht="15">
      <c r="A772" s="28">
        <v>44803</v>
      </c>
      <c r="B772" s="65">
        <v>30920142000</v>
      </c>
      <c r="C772" s="65"/>
      <c r="D772" s="65"/>
      <c r="E772" s="65"/>
      <c r="F772" s="65">
        <f t="shared" si="577"/>
        <v>30920142000</v>
      </c>
      <c r="G772" s="65">
        <f t="shared" si="578"/>
        <v>8348438</v>
      </c>
      <c r="H772" s="58">
        <f t="shared" si="579"/>
        <v>340754000</v>
      </c>
      <c r="I772" s="58"/>
      <c r="J772" s="58">
        <f>193524000+147230000</f>
        <v>340754000</v>
      </c>
      <c r="K772" s="58"/>
      <c r="L772" s="58">
        <f t="shared" si="580"/>
        <v>8611907000</v>
      </c>
      <c r="M772" s="58"/>
      <c r="N772" s="152">
        <v>8611907000</v>
      </c>
      <c r="O772" s="58">
        <f t="shared" si="581"/>
        <v>2163852000</v>
      </c>
      <c r="P772" s="58"/>
      <c r="Q772" s="58">
        <f>1752153000+411699000</f>
        <v>2163852000</v>
      </c>
      <c r="R772" s="58">
        <f t="shared" si="582"/>
        <v>729965000</v>
      </c>
      <c r="S772" s="58"/>
      <c r="T772" s="58">
        <f>729965000</f>
        <v>729965000</v>
      </c>
      <c r="U772" s="58">
        <f t="shared" si="583"/>
        <v>115452000</v>
      </c>
      <c r="V772" s="58"/>
      <c r="W772" s="152">
        <f>37011000+78441000</f>
        <v>115452000</v>
      </c>
      <c r="X772" s="58">
        <f t="shared" si="584"/>
        <v>627913000</v>
      </c>
      <c r="Y772" s="58"/>
      <c r="Z772" s="58">
        <f>416163000+211750000</f>
        <v>627913000</v>
      </c>
      <c r="AA772" s="122"/>
      <c r="AB772" s="122"/>
      <c r="AC772" s="122"/>
      <c r="AD772" s="122"/>
      <c r="AE772" s="122"/>
      <c r="AF772" s="122"/>
      <c r="AG772" s="122"/>
      <c r="AH772" s="122"/>
      <c r="AI772" s="122"/>
      <c r="AJ772" s="121">
        <f t="shared" si="549"/>
        <v>1359703</v>
      </c>
      <c r="AK772" s="66">
        <v>247230</v>
      </c>
      <c r="AL772" s="54">
        <v>44803</v>
      </c>
      <c r="AM772" s="116">
        <v>271</v>
      </c>
      <c r="AN772" s="42">
        <f>1328*2550</f>
        <v>3386400</v>
      </c>
      <c r="AO772" s="125">
        <f t="shared" ref="AO772:AO773" si="585">AM772*2700</f>
        <v>731700</v>
      </c>
      <c r="AP772" s="59"/>
      <c r="AQ772" s="102">
        <v>32431414000000</v>
      </c>
      <c r="AR772" s="102">
        <v>73482504000</v>
      </c>
      <c r="AS772" s="102">
        <v>13099103005</v>
      </c>
      <c r="AT772" s="104">
        <v>44019245005</v>
      </c>
      <c r="AU772" s="55">
        <f t="shared" si="543"/>
        <v>14073471</v>
      </c>
      <c r="AV772" s="99">
        <f t="shared" si="544"/>
        <v>17974932449.599998</v>
      </c>
    </row>
    <row r="773" spans="1:48" ht="15">
      <c r="A773" s="28">
        <v>44804</v>
      </c>
      <c r="B773" s="65">
        <v>12399805000</v>
      </c>
      <c r="C773" s="65"/>
      <c r="D773" s="65">
        <v>4979945000</v>
      </c>
      <c r="E773" s="65"/>
      <c r="F773" s="65">
        <f t="shared" si="577"/>
        <v>17379750000</v>
      </c>
      <c r="G773" s="65">
        <f t="shared" si="578"/>
        <v>4692533</v>
      </c>
      <c r="H773" s="58">
        <f t="shared" si="579"/>
        <v>6788609000</v>
      </c>
      <c r="I773" s="58">
        <v>13181200000</v>
      </c>
      <c r="J773" s="58">
        <v>19969809000</v>
      </c>
      <c r="K773" s="58"/>
      <c r="L773" s="58">
        <f t="shared" si="580"/>
        <v>14549067000</v>
      </c>
      <c r="M773" s="58">
        <v>16545000000</v>
      </c>
      <c r="N773" s="152">
        <v>31094067000</v>
      </c>
      <c r="O773" s="58">
        <f t="shared" si="581"/>
        <v>1128768000</v>
      </c>
      <c r="P773" s="58"/>
      <c r="Q773" s="58">
        <v>1128768000</v>
      </c>
      <c r="R773" s="58">
        <f t="shared" si="582"/>
        <v>195237000</v>
      </c>
      <c r="S773" s="58"/>
      <c r="T773" s="58">
        <f>193562000+1675000</f>
        <v>195237000</v>
      </c>
      <c r="U773" s="58">
        <f t="shared" si="583"/>
        <v>32145000</v>
      </c>
      <c r="V773" s="58"/>
      <c r="W773" s="152">
        <v>32145000</v>
      </c>
      <c r="X773" s="58">
        <f t="shared" si="584"/>
        <v>426253000</v>
      </c>
      <c r="Y773" s="122"/>
      <c r="Z773" s="58">
        <v>426253000</v>
      </c>
      <c r="AA773" s="122"/>
      <c r="AB773" s="122"/>
      <c r="AC773" s="122"/>
      <c r="AD773" s="122"/>
      <c r="AE773" s="122"/>
      <c r="AF773" s="122"/>
      <c r="AG773" s="122"/>
      <c r="AH773" s="122"/>
      <c r="AI773" s="122"/>
      <c r="AJ773" s="121">
        <f t="shared" si="549"/>
        <v>7847685</v>
      </c>
      <c r="AK773" s="66">
        <f>799900*0.3</f>
        <v>239970</v>
      </c>
      <c r="AL773" s="54">
        <v>44804</v>
      </c>
      <c r="AM773" s="116">
        <v>6064</v>
      </c>
      <c r="AN773" s="42">
        <f>1498*2550</f>
        <v>3819900</v>
      </c>
      <c r="AO773" s="125">
        <f t="shared" si="585"/>
        <v>16372800</v>
      </c>
      <c r="AP773" s="59"/>
      <c r="AQ773" s="102">
        <v>30069988000000</v>
      </c>
      <c r="AR773" s="102">
        <v>157204000000</v>
      </c>
      <c r="AS773" s="102">
        <v>83205557882</v>
      </c>
      <c r="AT773" s="104">
        <v>100585307882</v>
      </c>
      <c r="AU773" s="55">
        <f t="shared" si="543"/>
        <v>32972888</v>
      </c>
      <c r="AV773" s="99">
        <f t="shared" si="544"/>
        <v>18007905337.599998</v>
      </c>
    </row>
    <row r="774" spans="1:48" ht="15">
      <c r="A774" s="28">
        <v>44809</v>
      </c>
      <c r="B774" s="65">
        <v>12701490000</v>
      </c>
      <c r="C774" s="65"/>
      <c r="D774" s="65"/>
      <c r="E774" s="65"/>
      <c r="F774" s="65">
        <f>SUM(B774:E774)</f>
        <v>12701490000</v>
      </c>
      <c r="G774" s="65">
        <f>ROUND(F774*0.027%,0)</f>
        <v>3429402</v>
      </c>
      <c r="H774" s="58">
        <f>J774-I774</f>
        <v>19972520000</v>
      </c>
      <c r="I774" s="58"/>
      <c r="J774" s="58">
        <v>19972520000</v>
      </c>
      <c r="K774" s="58"/>
      <c r="L774" s="58">
        <f>N774-M774</f>
        <v>16131706000</v>
      </c>
      <c r="M774" s="58"/>
      <c r="N774" s="152">
        <v>16131706000</v>
      </c>
      <c r="O774" s="58">
        <f>Q774-P774</f>
        <v>691682000</v>
      </c>
      <c r="P774" s="58"/>
      <c r="Q774" s="58">
        <v>691682000</v>
      </c>
      <c r="R774" s="58">
        <f>T774-S774</f>
        <v>1324384000</v>
      </c>
      <c r="S774" s="58"/>
      <c r="T774" s="58">
        <v>1324384000</v>
      </c>
      <c r="U774" s="58">
        <f>W774-V774</f>
        <v>201939000</v>
      </c>
      <c r="V774" s="58"/>
      <c r="W774" s="152">
        <v>201939000</v>
      </c>
      <c r="X774" s="58">
        <f>Z774-Y774</f>
        <v>442207000</v>
      </c>
      <c r="Y774" s="58"/>
      <c r="Z774" s="58">
        <v>442207000</v>
      </c>
      <c r="AA774" s="122"/>
      <c r="AB774" s="122"/>
      <c r="AC774" s="122"/>
      <c r="AD774" s="122"/>
      <c r="AE774" s="122"/>
      <c r="AF774" s="122"/>
      <c r="AG774" s="122"/>
      <c r="AH774" s="122"/>
      <c r="AI774" s="122"/>
      <c r="AJ774" s="121">
        <f t="shared" si="549"/>
        <v>4186559</v>
      </c>
      <c r="AK774" s="66">
        <v>267240</v>
      </c>
      <c r="AL774" s="54">
        <v>44809</v>
      </c>
      <c r="AM774" s="116">
        <v>6099</v>
      </c>
      <c r="AN774" s="42">
        <f>1498*2550*5</f>
        <v>19099500</v>
      </c>
      <c r="AO774" s="125">
        <f>AM774*2700</f>
        <v>16467300</v>
      </c>
      <c r="AP774" s="59"/>
      <c r="AQ774" s="102">
        <v>30777720000000</v>
      </c>
      <c r="AR774" s="102">
        <v>166914000000</v>
      </c>
      <c r="AS774" s="102">
        <v>44669953270</v>
      </c>
      <c r="AT774" s="104">
        <v>57371443270</v>
      </c>
      <c r="AU774" s="55">
        <f t="shared" si="543"/>
        <v>43450001</v>
      </c>
      <c r="AV774" s="99">
        <f t="shared" si="544"/>
        <v>18051355338.599998</v>
      </c>
    </row>
    <row r="775" spans="1:48" ht="15">
      <c r="A775" s="28">
        <v>44810</v>
      </c>
      <c r="B775" s="65">
        <v>7645475000</v>
      </c>
      <c r="C775" s="65"/>
      <c r="D775" s="65"/>
      <c r="E775" s="65"/>
      <c r="F775" s="65">
        <f t="shared" ref="F775:F777" si="586">SUM(B775:E775)</f>
        <v>7645475000</v>
      </c>
      <c r="G775" s="65">
        <f t="shared" ref="G775:G777" si="587">ROUND(F775*0.027%,0)</f>
        <v>2064278</v>
      </c>
      <c r="H775" s="58">
        <f t="shared" ref="H775:H777" si="588">J775-I775</f>
        <v>18493578000</v>
      </c>
      <c r="I775" s="58"/>
      <c r="J775" s="58">
        <v>18493578000</v>
      </c>
      <c r="K775" s="58"/>
      <c r="L775" s="58">
        <f t="shared" ref="L775:L777" si="589">N775-M775</f>
        <v>12795374000</v>
      </c>
      <c r="M775" s="58"/>
      <c r="N775" s="152">
        <v>12795374000</v>
      </c>
      <c r="O775" s="58">
        <f t="shared" ref="O775:O777" si="590">Q775-P775</f>
        <v>235777000</v>
      </c>
      <c r="P775" s="58"/>
      <c r="Q775" s="58">
        <v>235777000</v>
      </c>
      <c r="R775" s="58">
        <f t="shared" ref="R775:R777" si="591">T775-S775</f>
        <v>1055605000</v>
      </c>
      <c r="S775" s="58"/>
      <c r="T775" s="58">
        <v>1055605000</v>
      </c>
      <c r="U775" s="58">
        <f t="shared" ref="U775:U777" si="592">W775-V775</f>
        <v>56657000</v>
      </c>
      <c r="V775" s="58"/>
      <c r="W775" s="152">
        <v>56657000</v>
      </c>
      <c r="X775" s="58">
        <f t="shared" ref="X775:X777" si="593">Z775-Y775</f>
        <v>788249000</v>
      </c>
      <c r="Y775" s="58"/>
      <c r="Z775" s="58">
        <v>788249000</v>
      </c>
      <c r="AA775" s="122"/>
      <c r="AB775" s="122"/>
      <c r="AC775" s="122"/>
      <c r="AD775" s="122"/>
      <c r="AE775" s="122"/>
      <c r="AF775" s="122"/>
      <c r="AG775" s="122"/>
      <c r="AH775" s="122"/>
      <c r="AI775" s="122"/>
      <c r="AJ775" s="121">
        <f t="shared" si="549"/>
        <v>3609926</v>
      </c>
      <c r="AK775" s="66">
        <v>98700</v>
      </c>
      <c r="AL775" s="54">
        <v>44810</v>
      </c>
      <c r="AM775" s="116">
        <v>282</v>
      </c>
      <c r="AN775" s="42">
        <f>1511*2550</f>
        <v>3853050</v>
      </c>
      <c r="AO775" s="125">
        <f>AM775*2700</f>
        <v>761400</v>
      </c>
      <c r="AP775" s="59"/>
      <c r="AQ775" s="102">
        <v>33018120000000</v>
      </c>
      <c r="AR775" s="102">
        <v>141255698000</v>
      </c>
      <c r="AS775" s="102">
        <v>35878102317</v>
      </c>
      <c r="AT775" s="104">
        <v>43523577317</v>
      </c>
      <c r="AU775" s="55">
        <f t="shared" si="543"/>
        <v>10387354</v>
      </c>
      <c r="AV775" s="99">
        <f t="shared" si="544"/>
        <v>18061742692.599998</v>
      </c>
    </row>
    <row r="776" spans="1:48" ht="15">
      <c r="A776" s="28">
        <v>44811</v>
      </c>
      <c r="B776" s="65">
        <v>31218499000</v>
      </c>
      <c r="C776" s="65">
        <v>8149000000</v>
      </c>
      <c r="D776" s="65"/>
      <c r="E776" s="65"/>
      <c r="F776" s="65">
        <f t="shared" si="586"/>
        <v>39367499000</v>
      </c>
      <c r="G776" s="65">
        <f t="shared" si="587"/>
        <v>10629225</v>
      </c>
      <c r="H776" s="58">
        <f t="shared" si="588"/>
        <v>2521413000</v>
      </c>
      <c r="I776" s="58"/>
      <c r="J776" s="58">
        <v>2521413000</v>
      </c>
      <c r="K776" s="58"/>
      <c r="L776" s="58">
        <f t="shared" si="589"/>
        <v>12001735000</v>
      </c>
      <c r="M776" s="58"/>
      <c r="N776" s="152">
        <v>12001735000</v>
      </c>
      <c r="O776" s="58">
        <f t="shared" si="590"/>
        <v>492110000</v>
      </c>
      <c r="P776" s="58"/>
      <c r="Q776" s="58">
        <v>492110000</v>
      </c>
      <c r="R776" s="58">
        <f t="shared" si="591"/>
        <v>4086703000</v>
      </c>
      <c r="S776" s="58"/>
      <c r="T776" s="58">
        <v>4086703000</v>
      </c>
      <c r="U776" s="58">
        <f t="shared" si="592"/>
        <v>72171000</v>
      </c>
      <c r="V776" s="58"/>
      <c r="W776" s="152">
        <v>72171000</v>
      </c>
      <c r="X776" s="58">
        <f t="shared" si="593"/>
        <v>429353000</v>
      </c>
      <c r="Y776" s="58"/>
      <c r="Z776" s="58">
        <v>429353000</v>
      </c>
      <c r="AA776" s="122"/>
      <c r="AB776" s="122"/>
      <c r="AC776" s="122"/>
      <c r="AD776" s="122"/>
      <c r="AE776" s="122"/>
      <c r="AF776" s="122"/>
      <c r="AG776" s="122"/>
      <c r="AH776" s="122"/>
      <c r="AI776" s="122"/>
      <c r="AJ776" s="121">
        <f t="shared" si="549"/>
        <v>2117176</v>
      </c>
      <c r="AK776" s="66">
        <v>265140</v>
      </c>
      <c r="AL776" s="54">
        <v>44811</v>
      </c>
      <c r="AM776" s="116">
        <v>415</v>
      </c>
      <c r="AN776" s="42">
        <f>1511*2550</f>
        <v>3853050</v>
      </c>
      <c r="AO776" s="125">
        <f t="shared" ref="AO776:AO777" si="594">AM776*2700</f>
        <v>1120500</v>
      </c>
      <c r="AP776" s="59"/>
      <c r="AQ776" s="102">
        <v>47930616000000</v>
      </c>
      <c r="AR776" s="102">
        <v>118720526000</v>
      </c>
      <c r="AS776" s="102">
        <v>20661734134</v>
      </c>
      <c r="AT776" s="104">
        <v>60029233134</v>
      </c>
      <c r="AU776" s="55">
        <f t="shared" si="543"/>
        <v>17985091</v>
      </c>
      <c r="AV776" s="99">
        <f t="shared" si="544"/>
        <v>18079727783.599998</v>
      </c>
    </row>
    <row r="777" spans="1:48" ht="15">
      <c r="A777" s="28">
        <v>44812</v>
      </c>
      <c r="B777" s="65">
        <v>32006730000</v>
      </c>
      <c r="C777" s="65"/>
      <c r="D777" s="65"/>
      <c r="E777" s="65"/>
      <c r="F777" s="65">
        <f t="shared" si="586"/>
        <v>32006730000</v>
      </c>
      <c r="G777" s="65">
        <f t="shared" si="587"/>
        <v>8641817</v>
      </c>
      <c r="H777" s="58">
        <f t="shared" si="588"/>
        <v>1846732000</v>
      </c>
      <c r="I777" s="58"/>
      <c r="J777" s="58">
        <v>1846732000</v>
      </c>
      <c r="K777" s="58"/>
      <c r="L777" s="58">
        <f t="shared" si="589"/>
        <v>23651878000</v>
      </c>
      <c r="M777" s="58"/>
      <c r="N777" s="152">
        <v>23651878000</v>
      </c>
      <c r="O777" s="58">
        <f t="shared" si="590"/>
        <v>6296160000</v>
      </c>
      <c r="P777" s="58"/>
      <c r="Q777" s="58">
        <v>6296160000</v>
      </c>
      <c r="R777" s="58">
        <f t="shared" si="591"/>
        <v>1239507000</v>
      </c>
      <c r="S777" s="58"/>
      <c r="T777" s="58">
        <v>1239507000</v>
      </c>
      <c r="U777" s="58">
        <f t="shared" si="592"/>
        <v>81149000</v>
      </c>
      <c r="V777" s="58"/>
      <c r="W777" s="152">
        <v>81149000</v>
      </c>
      <c r="X777" s="58">
        <f t="shared" si="593"/>
        <v>415500000</v>
      </c>
      <c r="Y777" s="122"/>
      <c r="Z777" s="58">
        <v>415500000</v>
      </c>
      <c r="AA777" s="122"/>
      <c r="AB777" s="122"/>
      <c r="AC777" s="122"/>
      <c r="AD777" s="122"/>
      <c r="AE777" s="122"/>
      <c r="AF777" s="122"/>
      <c r="AG777" s="122"/>
      <c r="AH777" s="122"/>
      <c r="AI777" s="122"/>
      <c r="AJ777" s="121">
        <f t="shared" si="549"/>
        <v>3621340</v>
      </c>
      <c r="AK777" s="66">
        <v>268800</v>
      </c>
      <c r="AL777" s="54">
        <v>44812</v>
      </c>
      <c r="AM777" s="116">
        <v>502</v>
      </c>
      <c r="AN777" s="42">
        <f>1590*2550</f>
        <v>4054500</v>
      </c>
      <c r="AO777" s="125">
        <f t="shared" si="594"/>
        <v>1355400</v>
      </c>
      <c r="AP777" s="59"/>
      <c r="AQ777" s="102">
        <v>33430718000000</v>
      </c>
      <c r="AR777" s="102">
        <v>117439236000</v>
      </c>
      <c r="AS777" s="102">
        <v>77794792106</v>
      </c>
      <c r="AT777" s="104">
        <v>109801522106</v>
      </c>
      <c r="AU777" s="55">
        <f t="shared" si="543"/>
        <v>17941857</v>
      </c>
      <c r="AV777" s="99">
        <f t="shared" si="544"/>
        <v>18097669640.599998</v>
      </c>
    </row>
    <row r="778" spans="1:48" ht="15">
      <c r="A778" s="28">
        <v>44813</v>
      </c>
      <c r="B778" s="65">
        <v>48147215000</v>
      </c>
      <c r="C778" s="65"/>
      <c r="D778" s="65"/>
      <c r="E778" s="65"/>
      <c r="F778" s="65">
        <f>SUM(B778:E778)</f>
        <v>48147215000</v>
      </c>
      <c r="G778" s="65">
        <f>ROUND(F778*0.027%,0)</f>
        <v>12999748</v>
      </c>
      <c r="H778" s="58">
        <f>J778-I778</f>
        <v>23621000</v>
      </c>
      <c r="I778" s="58">
        <v>8608300000</v>
      </c>
      <c r="J778" s="58">
        <f>8608300000+23621000</f>
        <v>8631921000</v>
      </c>
      <c r="K778" s="58"/>
      <c r="L778" s="58">
        <f>N778-M778</f>
        <v>10707000</v>
      </c>
      <c r="M778" s="58">
        <v>12051250000</v>
      </c>
      <c r="N778" s="58">
        <f>12059275000+2682000</f>
        <v>12061957000</v>
      </c>
      <c r="O778" s="58">
        <f>Q778-P778</f>
        <v>1562127000</v>
      </c>
      <c r="P778" s="58"/>
      <c r="Q778" s="58">
        <v>1562127000</v>
      </c>
      <c r="R778" s="58">
        <f>T778-S778</f>
        <v>1046371000</v>
      </c>
      <c r="S778" s="58"/>
      <c r="T778" s="58">
        <v>1046371000</v>
      </c>
      <c r="U778" s="58">
        <f>W778-V778</f>
        <v>208388000</v>
      </c>
      <c r="V778" s="58"/>
      <c r="W778" s="152">
        <v>208388000</v>
      </c>
      <c r="X778" s="58">
        <f>Z778-Y778</f>
        <v>607410000</v>
      </c>
      <c r="Y778" s="58"/>
      <c r="Z778" s="58">
        <v>607410000</v>
      </c>
      <c r="AA778" s="58"/>
      <c r="AB778" s="58"/>
      <c r="AC778" s="58"/>
      <c r="AD778" s="122"/>
      <c r="AE778" s="122"/>
      <c r="AF778" s="122"/>
      <c r="AG778" s="122"/>
      <c r="AH778" s="122"/>
      <c r="AI778" s="122"/>
      <c r="AJ778" s="121">
        <f t="shared" si="549"/>
        <v>4092250</v>
      </c>
      <c r="AK778" s="66">
        <v>307320</v>
      </c>
      <c r="AL778" s="54">
        <v>44813</v>
      </c>
      <c r="AM778" s="116">
        <v>1049</v>
      </c>
      <c r="AN778" s="42">
        <f>1719*2550*3</f>
        <v>13150350</v>
      </c>
      <c r="AO778" s="125">
        <f>AM778*2700</f>
        <v>2832300</v>
      </c>
      <c r="AP778" s="59"/>
      <c r="AQ778" s="102">
        <v>32301480000000</v>
      </c>
      <c r="AR778" s="102">
        <v>99356836000</v>
      </c>
      <c r="AS778" s="102">
        <v>45687568230</v>
      </c>
      <c r="AT778" s="104">
        <v>93834783230</v>
      </c>
      <c r="AU778" s="55">
        <f t="shared" si="543"/>
        <v>33381968</v>
      </c>
      <c r="AV778" s="99">
        <f t="shared" ref="AV778:AV792" si="595">AV777+AU778</f>
        <v>18131051608.599998</v>
      </c>
    </row>
    <row r="779" spans="1:48" ht="15">
      <c r="A779" s="28">
        <v>44816</v>
      </c>
      <c r="B779" s="65">
        <v>21544725000</v>
      </c>
      <c r="C779" s="65"/>
      <c r="D779" s="65">
        <v>5021345000</v>
      </c>
      <c r="E779" s="65">
        <v>2688715000</v>
      </c>
      <c r="F779" s="65">
        <f>SUM(B779:E779)</f>
        <v>29254785000</v>
      </c>
      <c r="G779" s="65">
        <f>ROUND(F779*0.027%,0)</f>
        <v>7898792</v>
      </c>
      <c r="H779" s="58">
        <f>J779-I779</f>
        <v>2670394000</v>
      </c>
      <c r="I779" s="58"/>
      <c r="J779" s="58">
        <v>2670394000</v>
      </c>
      <c r="K779" s="58"/>
      <c r="L779" s="58">
        <f t="shared" ref="L779:L787" si="596">N779-M779</f>
        <v>4586079000</v>
      </c>
      <c r="M779" s="58">
        <v>5409000000</v>
      </c>
      <c r="N779" s="152">
        <f>5734119000+4260960000</f>
        <v>9995079000</v>
      </c>
      <c r="O779" s="58">
        <f t="shared" ref="O779:O782" si="597">Q779-P779</f>
        <v>2429144000</v>
      </c>
      <c r="P779" s="58"/>
      <c r="Q779" s="58">
        <f>2427434000+1710000</f>
        <v>2429144000</v>
      </c>
      <c r="R779" s="58">
        <f t="shared" ref="R779:R782" si="598">T779-S779</f>
        <v>2081052000</v>
      </c>
      <c r="S779" s="58"/>
      <c r="T779" s="58">
        <v>2081052000</v>
      </c>
      <c r="U779" s="58">
        <f t="shared" ref="U779:U782" si="599">W779-V779</f>
        <v>84778000</v>
      </c>
      <c r="V779" s="58"/>
      <c r="W779" s="152">
        <v>84778000</v>
      </c>
      <c r="X779" s="58">
        <f t="shared" ref="X779:X782" si="600">Z779-Y779</f>
        <v>419335000</v>
      </c>
      <c r="Y779" s="58"/>
      <c r="Z779" s="58">
        <v>419335000</v>
      </c>
      <c r="AA779" s="58"/>
      <c r="AB779" s="58"/>
      <c r="AC779" s="58"/>
      <c r="AD779" s="122"/>
      <c r="AE779" s="122"/>
      <c r="AF779" s="122"/>
      <c r="AG779" s="122"/>
      <c r="AH779" s="122"/>
      <c r="AI779" s="122"/>
      <c r="AJ779" s="121">
        <f t="shared" si="549"/>
        <v>2298864</v>
      </c>
      <c r="AK779" s="66">
        <v>247770</v>
      </c>
      <c r="AL779" s="54">
        <v>44816</v>
      </c>
      <c r="AM779" s="116">
        <v>792</v>
      </c>
      <c r="AN779" s="42">
        <f>1201*2550</f>
        <v>3062550</v>
      </c>
      <c r="AO779" s="125">
        <f>AM779*2700</f>
        <v>2138400</v>
      </c>
      <c r="AP779" s="59"/>
      <c r="AQ779" s="102">
        <v>25583368000000</v>
      </c>
      <c r="AR779" s="102">
        <v>167110510000</v>
      </c>
      <c r="AS779" s="102">
        <v>24001682030</v>
      </c>
      <c r="AT779" s="104">
        <v>53256467030</v>
      </c>
      <c r="AU779" s="55">
        <f t="shared" si="543"/>
        <v>15646376</v>
      </c>
      <c r="AV779" s="99">
        <f t="shared" si="595"/>
        <v>18146697984.599998</v>
      </c>
    </row>
    <row r="780" spans="1:48" ht="15">
      <c r="A780" s="28">
        <v>44817</v>
      </c>
      <c r="B780" s="65">
        <v>59385755000</v>
      </c>
      <c r="C780" s="65"/>
      <c r="D780" s="65"/>
      <c r="E780" s="65"/>
      <c r="F780" s="65">
        <f t="shared" ref="F780:F782" si="601">SUM(B780:E780)</f>
        <v>59385755000</v>
      </c>
      <c r="G780" s="65">
        <f t="shared" ref="G780:G782" si="602">ROUND(F780*0.027%,0)</f>
        <v>16034154</v>
      </c>
      <c r="H780" s="58">
        <f t="shared" ref="H780:H782" si="603">J780-I780</f>
        <v>9088426000</v>
      </c>
      <c r="I780" s="58"/>
      <c r="J780" s="58">
        <v>9088426000</v>
      </c>
      <c r="K780" s="58"/>
      <c r="L780" s="58">
        <f t="shared" si="596"/>
        <v>3174819000</v>
      </c>
      <c r="M780" s="58"/>
      <c r="N780" s="152">
        <f>2695000+3172124000</f>
        <v>3174819000</v>
      </c>
      <c r="O780" s="58">
        <f t="shared" si="597"/>
        <v>1728640000</v>
      </c>
      <c r="P780" s="58"/>
      <c r="Q780" s="58">
        <f>303766000+1424874000</f>
        <v>1728640000</v>
      </c>
      <c r="R780" s="58">
        <f t="shared" si="598"/>
        <v>919671000</v>
      </c>
      <c r="S780" s="58"/>
      <c r="T780" s="58">
        <v>919671000</v>
      </c>
      <c r="U780" s="58">
        <f t="shared" si="599"/>
        <v>33445000</v>
      </c>
      <c r="V780" s="58"/>
      <c r="W780" s="152">
        <v>33445000</v>
      </c>
      <c r="X780" s="58">
        <f t="shared" si="600"/>
        <v>467905000</v>
      </c>
      <c r="Y780" s="58">
        <v>10859400000</v>
      </c>
      <c r="Z780" s="58">
        <v>11327305000</v>
      </c>
      <c r="AA780" s="58"/>
      <c r="AB780" s="58"/>
      <c r="AC780" s="58"/>
      <c r="AD780" s="122"/>
      <c r="AE780" s="122"/>
      <c r="AF780" s="122"/>
      <c r="AG780" s="122"/>
      <c r="AH780" s="122"/>
      <c r="AI780" s="122"/>
      <c r="AJ780" s="121">
        <f t="shared" si="549"/>
        <v>3619286</v>
      </c>
      <c r="AK780" s="66">
        <v>414930</v>
      </c>
      <c r="AL780" s="54">
        <v>44817</v>
      </c>
      <c r="AM780" s="116">
        <v>968</v>
      </c>
      <c r="AN780" s="42">
        <f>1535*2550</f>
        <v>3914250</v>
      </c>
      <c r="AO780" s="125">
        <f t="shared" ref="AO780:AO782" si="604">AM780*2700</f>
        <v>2613600</v>
      </c>
      <c r="AP780" s="59"/>
      <c r="AQ780" s="102">
        <v>29456246000000</v>
      </c>
      <c r="AR780" s="102">
        <v>214482294000</v>
      </c>
      <c r="AS780" s="102">
        <v>47469585812</v>
      </c>
      <c r="AT780" s="104">
        <v>106855340812</v>
      </c>
      <c r="AU780" s="55">
        <f t="shared" si="543"/>
        <v>26596220</v>
      </c>
      <c r="AV780" s="99">
        <f t="shared" si="595"/>
        <v>18173294204.599998</v>
      </c>
    </row>
    <row r="781" spans="1:48" ht="15">
      <c r="A781" s="28">
        <v>44818</v>
      </c>
      <c r="B781" s="65">
        <v>43809155000</v>
      </c>
      <c r="C781" s="65"/>
      <c r="D781" s="65"/>
      <c r="E781" s="65"/>
      <c r="F781" s="65">
        <f t="shared" si="601"/>
        <v>43809155000</v>
      </c>
      <c r="G781" s="65">
        <f t="shared" si="602"/>
        <v>11828472</v>
      </c>
      <c r="H781" s="58">
        <f t="shared" si="603"/>
        <v>76930000</v>
      </c>
      <c r="I781" s="58"/>
      <c r="J781" s="58">
        <v>76930000</v>
      </c>
      <c r="K781" s="58"/>
      <c r="L781" s="58">
        <f t="shared" si="596"/>
        <v>5727886000</v>
      </c>
      <c r="M781" s="58">
        <v>2689500000</v>
      </c>
      <c r="N781" s="152">
        <f>8377141000+40245000</f>
        <v>8417386000</v>
      </c>
      <c r="O781" s="58">
        <f t="shared" si="597"/>
        <v>1345887000</v>
      </c>
      <c r="P781" s="58"/>
      <c r="Q781" s="58">
        <f>651815000+694072000</f>
        <v>1345887000</v>
      </c>
      <c r="R781" s="58">
        <f t="shared" si="598"/>
        <v>976468000</v>
      </c>
      <c r="S781" s="58"/>
      <c r="T781" s="58">
        <v>976468000</v>
      </c>
      <c r="U781" s="58">
        <f t="shared" si="599"/>
        <v>73561000</v>
      </c>
      <c r="V781" s="58"/>
      <c r="W781" s="152">
        <v>73561000</v>
      </c>
      <c r="X781" s="58">
        <f t="shared" si="600"/>
        <v>409500000</v>
      </c>
      <c r="Y781" s="58"/>
      <c r="Z781" s="58">
        <v>409500000</v>
      </c>
      <c r="AA781" s="58"/>
      <c r="AB781" s="58"/>
      <c r="AC781" s="58"/>
      <c r="AD781" s="122"/>
      <c r="AE781" s="122"/>
      <c r="AF781" s="122"/>
      <c r="AG781" s="122"/>
      <c r="AH781" s="122"/>
      <c r="AI781" s="122"/>
      <c r="AJ781" s="121">
        <f t="shared" si="549"/>
        <v>1414015</v>
      </c>
      <c r="AK781" s="66">
        <v>348360</v>
      </c>
      <c r="AL781" s="54">
        <v>44818</v>
      </c>
      <c r="AM781" s="116">
        <v>551</v>
      </c>
      <c r="AN781" s="42">
        <f>1164*2550</f>
        <v>2968200</v>
      </c>
      <c r="AO781" s="125">
        <f t="shared" si="604"/>
        <v>1487700</v>
      </c>
      <c r="AP781" s="59"/>
      <c r="AQ781" s="102">
        <v>33460560000000</v>
      </c>
      <c r="AR781" s="102">
        <v>81402458000</v>
      </c>
      <c r="AS781" s="102">
        <v>16725373688</v>
      </c>
      <c r="AT781" s="104">
        <v>60534528688</v>
      </c>
      <c r="AU781" s="55">
        <f t="shared" si="543"/>
        <v>18046747</v>
      </c>
      <c r="AV781" s="99">
        <f t="shared" si="595"/>
        <v>18191340951.599998</v>
      </c>
    </row>
    <row r="782" spans="1:48" ht="15">
      <c r="A782" s="28">
        <v>44819</v>
      </c>
      <c r="B782" s="65">
        <v>100229105000</v>
      </c>
      <c r="C782" s="65"/>
      <c r="D782" s="65"/>
      <c r="E782" s="65">
        <v>6721615000</v>
      </c>
      <c r="F782" s="65">
        <f t="shared" si="601"/>
        <v>106950720000</v>
      </c>
      <c r="G782" s="65">
        <f t="shared" si="602"/>
        <v>28876694</v>
      </c>
      <c r="H782" s="58">
        <f t="shared" si="603"/>
        <v>763892000</v>
      </c>
      <c r="I782" s="58"/>
      <c r="J782" s="58">
        <v>763892000</v>
      </c>
      <c r="K782" s="58"/>
      <c r="L782" s="58">
        <f t="shared" si="596"/>
        <v>1786187000</v>
      </c>
      <c r="M782" s="58">
        <v>8076000000</v>
      </c>
      <c r="N782" s="152">
        <v>9862187000</v>
      </c>
      <c r="O782" s="58">
        <f t="shared" si="597"/>
        <v>402104000</v>
      </c>
      <c r="P782" s="58"/>
      <c r="Q782" s="58">
        <v>402104000</v>
      </c>
      <c r="R782" s="58">
        <f t="shared" si="598"/>
        <v>703376000</v>
      </c>
      <c r="S782" s="58"/>
      <c r="T782" s="58">
        <v>703376000</v>
      </c>
      <c r="U782" s="58">
        <f t="shared" si="599"/>
        <v>17301000</v>
      </c>
      <c r="V782" s="58"/>
      <c r="W782" s="152">
        <v>17301000</v>
      </c>
      <c r="X782" s="58">
        <f t="shared" si="600"/>
        <v>413827000</v>
      </c>
      <c r="Y782" s="122"/>
      <c r="Z782" s="58">
        <v>413827000</v>
      </c>
      <c r="AA782" s="58"/>
      <c r="AB782" s="122"/>
      <c r="AC782" s="58"/>
      <c r="AD782" s="122"/>
      <c r="AE782" s="122"/>
      <c r="AF782" s="122"/>
      <c r="AG782" s="122"/>
      <c r="AH782" s="122"/>
      <c r="AI782" s="122"/>
      <c r="AJ782" s="121">
        <f t="shared" si="549"/>
        <v>1895042</v>
      </c>
      <c r="AK782" s="66">
        <v>363690</v>
      </c>
      <c r="AL782" s="54">
        <v>44819</v>
      </c>
      <c r="AM782" s="116">
        <v>598</v>
      </c>
      <c r="AN782" s="42">
        <f>1291*2550</f>
        <v>3292050</v>
      </c>
      <c r="AO782" s="125">
        <f t="shared" si="604"/>
        <v>1614600</v>
      </c>
      <c r="AP782" s="59"/>
      <c r="AQ782" s="102">
        <v>25991956000000</v>
      </c>
      <c r="AR782" s="102">
        <v>203245194000</v>
      </c>
      <c r="AS782" s="102">
        <v>21140088806</v>
      </c>
      <c r="AT782" s="104">
        <v>128090808806</v>
      </c>
      <c r="AU782" s="55">
        <f t="shared" si="543"/>
        <v>36042076</v>
      </c>
      <c r="AV782" s="99">
        <f t="shared" si="595"/>
        <v>18227383027.599998</v>
      </c>
    </row>
    <row r="783" spans="1:48" ht="15">
      <c r="A783" s="28">
        <v>44820</v>
      </c>
      <c r="B783" s="65">
        <v>56975340000</v>
      </c>
      <c r="C783" s="65"/>
      <c r="D783" s="65"/>
      <c r="E783" s="65"/>
      <c r="F783" s="65">
        <f>SUM(B783:E783)</f>
        <v>56975340000</v>
      </c>
      <c r="G783" s="65">
        <f>15383343</f>
        <v>15383343</v>
      </c>
      <c r="H783" s="58">
        <f>J783-I783</f>
        <v>5138116000</v>
      </c>
      <c r="I783" s="58"/>
      <c r="J783" s="58">
        <v>5138116000</v>
      </c>
      <c r="K783" s="58"/>
      <c r="L783" s="58">
        <f t="shared" si="596"/>
        <v>9489996000</v>
      </c>
      <c r="M783" s="58">
        <v>2689500000</v>
      </c>
      <c r="N783" s="152">
        <v>12179496000</v>
      </c>
      <c r="O783" s="58">
        <f>Q783-P783</f>
        <v>332251000</v>
      </c>
      <c r="P783" s="58"/>
      <c r="Q783" s="58">
        <v>332251000</v>
      </c>
      <c r="R783" s="58">
        <f>T783-S783</f>
        <v>1022142000</v>
      </c>
      <c r="S783" s="58"/>
      <c r="T783" s="58">
        <v>1022142000</v>
      </c>
      <c r="U783" s="58">
        <f>W783-V783</f>
        <v>341794000</v>
      </c>
      <c r="V783" s="58"/>
      <c r="W783" s="152">
        <v>341794000</v>
      </c>
      <c r="X783" s="58">
        <f>Z783-Y783</f>
        <v>420019000</v>
      </c>
      <c r="Y783" s="58"/>
      <c r="Z783" s="58">
        <v>420019000</v>
      </c>
      <c r="AA783" s="58"/>
      <c r="AB783" s="58"/>
      <c r="AC783" s="58"/>
      <c r="AD783" s="122"/>
      <c r="AE783" s="122"/>
      <c r="AF783" s="122"/>
      <c r="AG783" s="122"/>
      <c r="AH783" s="122"/>
      <c r="AI783" s="122"/>
      <c r="AJ783" s="121">
        <f t="shared" si="549"/>
        <v>2292496</v>
      </c>
      <c r="AK783" s="66">
        <v>1841300</v>
      </c>
      <c r="AL783" s="54">
        <v>44820</v>
      </c>
      <c r="AM783" s="116">
        <v>314</v>
      </c>
      <c r="AN783" s="42">
        <f>1077*2550*3</f>
        <v>8239050</v>
      </c>
      <c r="AO783" s="125">
        <f>AM783*2700</f>
        <v>847800</v>
      </c>
      <c r="AP783" s="59"/>
      <c r="AQ783" s="102">
        <v>35549526000000</v>
      </c>
      <c r="AR783" s="102">
        <v>166633544000</v>
      </c>
      <c r="AS783" s="102">
        <v>23062641917</v>
      </c>
      <c r="AT783" s="104">
        <v>80037981917</v>
      </c>
      <c r="AU783" s="55">
        <f t="shared" si="543"/>
        <v>28603989</v>
      </c>
      <c r="AV783" s="99">
        <f t="shared" si="595"/>
        <v>18255987016.599998</v>
      </c>
    </row>
    <row r="784" spans="1:48" ht="15">
      <c r="A784" s="28">
        <v>44823</v>
      </c>
      <c r="B784" s="65">
        <v>74276213000</v>
      </c>
      <c r="C784" s="65"/>
      <c r="D784" s="65"/>
      <c r="E784" s="65"/>
      <c r="F784" s="65">
        <f>SUM(B784:E784)</f>
        <v>74276213000</v>
      </c>
      <c r="G784" s="65">
        <f>ROUND(F784*0.027%,0)</f>
        <v>20054578</v>
      </c>
      <c r="H784" s="58">
        <f t="shared" ref="H784:H787" si="605">J784-I784</f>
        <v>9232652000</v>
      </c>
      <c r="I784" s="58">
        <v>2111300000</v>
      </c>
      <c r="J784" s="58">
        <v>11343952000</v>
      </c>
      <c r="K784" s="58"/>
      <c r="L784" s="58">
        <f t="shared" si="596"/>
        <v>1101871000</v>
      </c>
      <c r="M784" s="152">
        <v>13137000000</v>
      </c>
      <c r="N784" s="152">
        <v>14238871000</v>
      </c>
      <c r="O784" s="58">
        <f t="shared" ref="O784:O787" si="606">Q784-P784</f>
        <v>1771499000</v>
      </c>
      <c r="P784" s="58"/>
      <c r="Q784" s="58">
        <v>1771499000</v>
      </c>
      <c r="R784" s="58">
        <f t="shared" ref="R784:R787" si="607">T784-S784</f>
        <v>1659758000</v>
      </c>
      <c r="S784" s="58"/>
      <c r="T784" s="58">
        <v>1659758000</v>
      </c>
      <c r="U784" s="58">
        <f t="shared" ref="U784:U787" si="608">W784-V784</f>
        <v>256277000</v>
      </c>
      <c r="V784" s="58"/>
      <c r="W784" s="152">
        <v>256277000</v>
      </c>
      <c r="X784" s="58">
        <f t="shared" ref="X784:X787" si="609">Z784-Y784</f>
        <v>430429000</v>
      </c>
      <c r="Y784" s="58"/>
      <c r="Z784" s="58">
        <v>430429000</v>
      </c>
      <c r="AA784" s="58"/>
      <c r="AB784" s="58"/>
      <c r="AC784" s="58"/>
      <c r="AD784" s="122"/>
      <c r="AE784" s="122"/>
      <c r="AF784" s="122"/>
      <c r="AG784" s="122"/>
      <c r="AH784" s="122"/>
      <c r="AI784" s="122"/>
      <c r="AJ784" s="121">
        <f t="shared" si="549"/>
        <v>4305562</v>
      </c>
      <c r="AK784" s="66">
        <v>1632900</v>
      </c>
      <c r="AL784" s="54">
        <v>44823</v>
      </c>
      <c r="AM784" s="116">
        <v>567</v>
      </c>
      <c r="AN784" s="42">
        <f>1240*2550</f>
        <v>3162000</v>
      </c>
      <c r="AO784" s="125">
        <f>AM784*2700</f>
        <v>1530900</v>
      </c>
      <c r="AP784" s="59"/>
      <c r="AQ784" s="102">
        <v>38765292000000</v>
      </c>
      <c r="AR784" s="102">
        <v>96066206000</v>
      </c>
      <c r="AS784" s="102">
        <v>45855436107</v>
      </c>
      <c r="AT784" s="104">
        <v>120131649107</v>
      </c>
      <c r="AU784" s="55">
        <f t="shared" si="543"/>
        <v>30685940</v>
      </c>
      <c r="AV784" s="99">
        <f t="shared" si="595"/>
        <v>18286672956.599998</v>
      </c>
    </row>
    <row r="785" spans="1:48" ht="15">
      <c r="A785" s="28">
        <v>44824</v>
      </c>
      <c r="B785" s="65">
        <v>59829130000</v>
      </c>
      <c r="C785" s="65"/>
      <c r="D785" s="65"/>
      <c r="E785" s="65"/>
      <c r="F785" s="65">
        <f t="shared" ref="F785:F787" si="610">SUM(B785:E785)</f>
        <v>59829130000</v>
      </c>
      <c r="G785" s="65">
        <f t="shared" ref="G785:G787" si="611">ROUND(F785*0.027%,0)</f>
        <v>16153865</v>
      </c>
      <c r="H785" s="58">
        <f t="shared" si="605"/>
        <v>888725000</v>
      </c>
      <c r="I785" s="58">
        <v>4175200000</v>
      </c>
      <c r="J785" s="58">
        <v>5063925000</v>
      </c>
      <c r="K785" s="58"/>
      <c r="L785" s="58">
        <f t="shared" si="596"/>
        <v>50291432000</v>
      </c>
      <c r="M785" s="152">
        <v>16946600000</v>
      </c>
      <c r="N785" s="152">
        <v>67238032000</v>
      </c>
      <c r="O785" s="58">
        <f t="shared" si="606"/>
        <v>397430000</v>
      </c>
      <c r="P785" s="58"/>
      <c r="Q785" s="58">
        <v>397430000</v>
      </c>
      <c r="R785" s="58">
        <f t="shared" si="607"/>
        <v>1351333000</v>
      </c>
      <c r="S785" s="58"/>
      <c r="T785" s="58">
        <v>1351333000</v>
      </c>
      <c r="U785" s="58">
        <f t="shared" si="608"/>
        <v>94881000</v>
      </c>
      <c r="V785" s="58"/>
      <c r="W785" s="152">
        <v>94881000</v>
      </c>
      <c r="X785" s="58">
        <f t="shared" si="609"/>
        <v>405809000</v>
      </c>
      <c r="Y785" s="58"/>
      <c r="Z785" s="58">
        <v>405809000</v>
      </c>
      <c r="AA785" s="58"/>
      <c r="AB785" s="58"/>
      <c r="AC785" s="58"/>
      <c r="AD785" s="122"/>
      <c r="AE785" s="122"/>
      <c r="AF785" s="122"/>
      <c r="AG785" s="122"/>
      <c r="AH785" s="122"/>
      <c r="AI785" s="122"/>
      <c r="AJ785" s="121">
        <f t="shared" si="549"/>
        <v>9572322</v>
      </c>
      <c r="AK785" s="66">
        <v>1468100</v>
      </c>
      <c r="AL785" s="54">
        <v>44824</v>
      </c>
      <c r="AM785" s="116">
        <v>823</v>
      </c>
      <c r="AN785" s="42">
        <f>1701*2550</f>
        <v>4337550</v>
      </c>
      <c r="AO785" s="125">
        <f t="shared" ref="AO785:AO787" si="612">AM785*2700</f>
        <v>2222100</v>
      </c>
      <c r="AP785" s="59"/>
      <c r="AQ785" s="102">
        <v>25627122000000</v>
      </c>
      <c r="AR785" s="102">
        <v>369353092000</v>
      </c>
      <c r="AS785" s="102">
        <v>96622237194</v>
      </c>
      <c r="AT785" s="104">
        <v>156451367194</v>
      </c>
      <c r="AU785" s="55">
        <f t="shared" si="543"/>
        <v>33753937</v>
      </c>
      <c r="AV785" s="99">
        <f t="shared" si="595"/>
        <v>18320426893.599998</v>
      </c>
    </row>
    <row r="786" spans="1:48" ht="15">
      <c r="A786" s="28">
        <v>44825</v>
      </c>
      <c r="B786" s="65">
        <v>40595220000</v>
      </c>
      <c r="C786" s="65"/>
      <c r="D786" s="65"/>
      <c r="E786" s="65">
        <v>6882920000</v>
      </c>
      <c r="F786" s="65">
        <f t="shared" si="610"/>
        <v>47478140000</v>
      </c>
      <c r="G786" s="65">
        <f t="shared" si="611"/>
        <v>12819098</v>
      </c>
      <c r="H786" s="58">
        <f t="shared" si="605"/>
        <v>468339000</v>
      </c>
      <c r="I786" s="58">
        <v>2084300000</v>
      </c>
      <c r="J786" s="58">
        <v>2552639000</v>
      </c>
      <c r="K786" s="58"/>
      <c r="L786" s="58">
        <f t="shared" si="596"/>
        <v>7524650000</v>
      </c>
      <c r="M786" s="152">
        <v>11725000000</v>
      </c>
      <c r="N786" s="152">
        <v>19249650000</v>
      </c>
      <c r="O786" s="58">
        <f t="shared" si="606"/>
        <v>752683000</v>
      </c>
      <c r="P786" s="58"/>
      <c r="Q786" s="58">
        <v>752683000</v>
      </c>
      <c r="R786" s="58">
        <f t="shared" si="607"/>
        <v>989896000</v>
      </c>
      <c r="S786" s="58"/>
      <c r="T786" s="58">
        <v>989896000</v>
      </c>
      <c r="U786" s="58">
        <f t="shared" si="608"/>
        <v>33563000</v>
      </c>
      <c r="V786" s="58"/>
      <c r="W786" s="152">
        <v>33563000</v>
      </c>
      <c r="X786" s="58">
        <f t="shared" si="609"/>
        <v>410755000</v>
      </c>
      <c r="Y786" s="58"/>
      <c r="Z786" s="58">
        <v>410755000</v>
      </c>
      <c r="AA786" s="58"/>
      <c r="AB786" s="58"/>
      <c r="AC786" s="58"/>
      <c r="AD786" s="122"/>
      <c r="AE786" s="122"/>
      <c r="AF786" s="122"/>
      <c r="AG786" s="122"/>
      <c r="AH786" s="122"/>
      <c r="AI786" s="122"/>
      <c r="AJ786" s="121">
        <f t="shared" ref="AJ786:AJ791" si="613">ROUND(H786*0.0108%+I786*0.018%+K786*0.018%+L786*0.0108%+M786*0.018%+O786*0.0108%+P786*0.018%+R786*0.0108%+S786*0.018%+V786*0.018%+U786*0.0108%+X786*0.0108%+Y786*0.018%,0)</f>
        <v>3585102</v>
      </c>
      <c r="AK786" s="66">
        <v>1735100</v>
      </c>
      <c r="AL786" s="54">
        <v>44825</v>
      </c>
      <c r="AM786" s="116">
        <v>539</v>
      </c>
      <c r="AN786" s="42">
        <f>1518*2550</f>
        <v>3870900</v>
      </c>
      <c r="AO786" s="125">
        <f t="shared" si="612"/>
        <v>1455300</v>
      </c>
      <c r="AP786" s="59"/>
      <c r="AQ786" s="102">
        <v>22498916000000</v>
      </c>
      <c r="AR786" s="102">
        <v>108257988000</v>
      </c>
      <c r="AS786" s="102">
        <v>38678698273</v>
      </c>
      <c r="AT786" s="104">
        <v>86156838273</v>
      </c>
      <c r="AU786" s="55">
        <f t="shared" si="543"/>
        <v>23465500</v>
      </c>
      <c r="AV786" s="99">
        <f t="shared" si="595"/>
        <v>18343892393.599998</v>
      </c>
    </row>
    <row r="787" spans="1:48" ht="15">
      <c r="A787" s="28">
        <v>44826</v>
      </c>
      <c r="B787" s="65">
        <v>34628855000</v>
      </c>
      <c r="C787" s="65"/>
      <c r="D787" s="65"/>
      <c r="E787" s="65"/>
      <c r="F787" s="65">
        <f t="shared" si="610"/>
        <v>34628855000</v>
      </c>
      <c r="G787" s="65">
        <f t="shared" si="611"/>
        <v>9349791</v>
      </c>
      <c r="H787" s="58">
        <f t="shared" si="605"/>
        <v>5048394000</v>
      </c>
      <c r="I787" s="58"/>
      <c r="J787" s="58">
        <v>5048394000</v>
      </c>
      <c r="K787" s="58"/>
      <c r="L787" s="58">
        <f t="shared" si="596"/>
        <v>3698979000</v>
      </c>
      <c r="M787" s="58"/>
      <c r="N787" s="152">
        <v>3698979000</v>
      </c>
      <c r="O787" s="58">
        <f t="shared" si="606"/>
        <v>4018492000</v>
      </c>
      <c r="P787" s="58"/>
      <c r="Q787" s="58">
        <v>4018492000</v>
      </c>
      <c r="R787" s="58">
        <f t="shared" si="607"/>
        <v>849439000</v>
      </c>
      <c r="S787" s="58"/>
      <c r="T787" s="58">
        <v>849439000</v>
      </c>
      <c r="U787" s="58">
        <f t="shared" si="608"/>
        <v>19663000</v>
      </c>
      <c r="V787" s="58"/>
      <c r="W787" s="152">
        <v>19663000</v>
      </c>
      <c r="X787" s="58">
        <f t="shared" si="609"/>
        <v>400971000</v>
      </c>
      <c r="Y787" s="122"/>
      <c r="Z787" s="58">
        <v>400971000</v>
      </c>
      <c r="AA787" s="58"/>
      <c r="AB787" s="122"/>
      <c r="AC787" s="58"/>
      <c r="AD787" s="122"/>
      <c r="AE787" s="122"/>
      <c r="AF787" s="122"/>
      <c r="AG787" s="122"/>
      <c r="AH787" s="122"/>
      <c r="AI787" s="122"/>
      <c r="AJ787" s="121">
        <f t="shared" si="613"/>
        <v>1515881</v>
      </c>
      <c r="AK787" s="66">
        <v>708600</v>
      </c>
      <c r="AL787" s="54">
        <v>44826</v>
      </c>
      <c r="AM787" s="116">
        <v>392</v>
      </c>
      <c r="AN787" s="42">
        <f>1574*2550</f>
        <v>4013700</v>
      </c>
      <c r="AO787" s="125">
        <f t="shared" si="612"/>
        <v>1058400</v>
      </c>
      <c r="AP787" s="59"/>
      <c r="AQ787" s="102">
        <v>27044052000000</v>
      </c>
      <c r="AR787" s="102">
        <v>92731308000</v>
      </c>
      <c r="AS787" s="102">
        <v>14909626922</v>
      </c>
      <c r="AT787" s="104">
        <v>49538481922</v>
      </c>
      <c r="AU787" s="55">
        <f t="shared" si="543"/>
        <v>16646372</v>
      </c>
      <c r="AV787" s="99">
        <f t="shared" si="595"/>
        <v>18360538765.599998</v>
      </c>
    </row>
    <row r="788" spans="1:48" ht="15">
      <c r="A788" s="28">
        <v>44827</v>
      </c>
      <c r="B788" s="65">
        <v>66972455000</v>
      </c>
      <c r="C788" s="65"/>
      <c r="D788" s="65"/>
      <c r="E788" s="65"/>
      <c r="F788" s="65">
        <f>SUM(B788:E788)</f>
        <v>66972455000</v>
      </c>
      <c r="G788" s="65">
        <f>ROUND(F788*0.027%,0)</f>
        <v>18082563</v>
      </c>
      <c r="H788" s="58">
        <f>J788-I788</f>
        <v>6449162000</v>
      </c>
      <c r="I788" s="58"/>
      <c r="J788" s="58">
        <v>6449162000</v>
      </c>
      <c r="K788" s="58"/>
      <c r="L788" s="58">
        <f>N788-M788</f>
        <v>212210000</v>
      </c>
      <c r="M788" s="58"/>
      <c r="N788" s="152">
        <v>212210000</v>
      </c>
      <c r="O788" s="58">
        <f>Q788-P788</f>
        <v>3227045000</v>
      </c>
      <c r="P788" s="58"/>
      <c r="Q788" s="58">
        <v>3227045000</v>
      </c>
      <c r="R788" s="58">
        <f>T788-S788</f>
        <v>853242000</v>
      </c>
      <c r="S788" s="58"/>
      <c r="T788" s="58">
        <v>853242000</v>
      </c>
      <c r="U788" s="58">
        <f>W788-V788</f>
        <v>54254000</v>
      </c>
      <c r="V788" s="58"/>
      <c r="W788" s="152">
        <v>54254000</v>
      </c>
      <c r="X788" s="58">
        <f>Z788-Y788</f>
        <v>400000000</v>
      </c>
      <c r="Y788" s="58"/>
      <c r="Z788" s="58">
        <v>400000000</v>
      </c>
      <c r="AA788" s="58">
        <f>AC788-AB788</f>
        <v>0</v>
      </c>
      <c r="AB788" s="58"/>
      <c r="AC788" s="58"/>
      <c r="AD788" s="122"/>
      <c r="AE788" s="122"/>
      <c r="AF788" s="122"/>
      <c r="AG788" s="122"/>
      <c r="AH788" s="122"/>
      <c r="AI788" s="122"/>
      <c r="AJ788" s="121">
        <f t="shared" si="613"/>
        <v>1209159</v>
      </c>
      <c r="AK788" s="66">
        <v>1091820</v>
      </c>
      <c r="AL788" s="54">
        <v>44827</v>
      </c>
      <c r="AM788" s="116">
        <v>583</v>
      </c>
      <c r="AN788" s="42">
        <f>1179*2550*3</f>
        <v>9019350</v>
      </c>
      <c r="AO788" s="125">
        <f>AM788*2700</f>
        <v>1574100</v>
      </c>
      <c r="AP788" s="59"/>
      <c r="AQ788" s="102">
        <v>26447442000000</v>
      </c>
      <c r="AR788" s="102">
        <v>48717304204</v>
      </c>
      <c r="AS788" s="102">
        <v>12068413773</v>
      </c>
      <c r="AT788" s="104">
        <v>79040868773</v>
      </c>
      <c r="AU788" s="55">
        <f t="shared" si="543"/>
        <v>30976992</v>
      </c>
      <c r="AV788" s="99">
        <f t="shared" si="595"/>
        <v>18391515757.599998</v>
      </c>
    </row>
    <row r="789" spans="1:48" ht="15">
      <c r="A789" s="28">
        <v>44830</v>
      </c>
      <c r="B789" s="65">
        <v>144470555000</v>
      </c>
      <c r="C789" s="65"/>
      <c r="D789" s="65"/>
      <c r="E789" s="65"/>
      <c r="F789" s="65">
        <f>SUM(B789:E789)</f>
        <v>144470555000</v>
      </c>
      <c r="G789" s="65">
        <f>ROUND(F789*0.027%,0)</f>
        <v>39007050</v>
      </c>
      <c r="H789" s="58">
        <f t="shared" ref="H789:H792" si="614">J789-I789</f>
        <v>10417302000</v>
      </c>
      <c r="I789" s="58"/>
      <c r="J789" s="58">
        <v>10417302000</v>
      </c>
      <c r="K789" s="58"/>
      <c r="L789" s="58">
        <f t="shared" ref="L789:L797" si="615">N789-M789</f>
        <v>14550355000</v>
      </c>
      <c r="M789" s="152">
        <v>7581000000</v>
      </c>
      <c r="N789" s="152">
        <v>22131355000</v>
      </c>
      <c r="O789" s="58">
        <f t="shared" ref="O789:O797" si="616">Q789-P789</f>
        <v>6292926000</v>
      </c>
      <c r="P789" s="58"/>
      <c r="Q789" s="58">
        <v>6292926000</v>
      </c>
      <c r="R789" s="58">
        <f t="shared" ref="R789:R797" si="617">T789-S789</f>
        <v>1205551000</v>
      </c>
      <c r="S789" s="58"/>
      <c r="T789" s="58">
        <v>1205551000</v>
      </c>
      <c r="U789" s="58">
        <f t="shared" ref="U789:U797" si="618">W789-V789</f>
        <v>94006000</v>
      </c>
      <c r="V789" s="58"/>
      <c r="W789" s="152">
        <v>94006000</v>
      </c>
      <c r="X789" s="58">
        <f t="shared" ref="X789:X797" si="619">Z789-Y789</f>
        <v>641451000</v>
      </c>
      <c r="Y789" s="58"/>
      <c r="Z789" s="58">
        <v>641451000</v>
      </c>
      <c r="AA789" s="58">
        <f t="shared" ref="AA789:AA797" si="620">AC789-AB789</f>
        <v>0</v>
      </c>
      <c r="AB789" s="58"/>
      <c r="AC789" s="58"/>
      <c r="AD789" s="122"/>
      <c r="AE789" s="122"/>
      <c r="AF789" s="122"/>
      <c r="AG789" s="122"/>
      <c r="AH789" s="122"/>
      <c r="AI789" s="122"/>
      <c r="AJ789" s="121">
        <f t="shared" si="613"/>
        <v>4950352</v>
      </c>
      <c r="AK789" s="66">
        <f>306989+541621</f>
        <v>848610</v>
      </c>
      <c r="AL789" s="54">
        <v>44830</v>
      </c>
      <c r="AM789" s="116">
        <v>1602</v>
      </c>
      <c r="AN789" s="42">
        <f>2485*2550+2631600</f>
        <v>8968350</v>
      </c>
      <c r="AO789" s="125">
        <f>AM789*2700</f>
        <v>4325400</v>
      </c>
      <c r="AP789" s="59"/>
      <c r="AQ789" s="102">
        <v>40178582000000</v>
      </c>
      <c r="AR789" s="102">
        <v>154000172000</v>
      </c>
      <c r="AS789" s="102">
        <v>49419374957</v>
      </c>
      <c r="AT789" s="104">
        <v>193889929957</v>
      </c>
      <c r="AU789" s="55">
        <f t="shared" si="543"/>
        <v>58099762</v>
      </c>
      <c r="AV789" s="99">
        <f t="shared" si="595"/>
        <v>18449615519.599998</v>
      </c>
    </row>
    <row r="790" spans="1:48" ht="15">
      <c r="A790" s="28">
        <v>44831</v>
      </c>
      <c r="B790" s="65">
        <v>48120130000</v>
      </c>
      <c r="C790" s="65"/>
      <c r="D790" s="65"/>
      <c r="E790" s="65"/>
      <c r="F790" s="65">
        <f t="shared" ref="F790:F792" si="621">SUM(B790:E790)</f>
        <v>48120130000</v>
      </c>
      <c r="G790" s="65">
        <f t="shared" ref="G790:G792" si="622">ROUND(F790*0.027%,0)</f>
        <v>12992435</v>
      </c>
      <c r="H790" s="58">
        <f>J790-I790</f>
        <v>20546927000</v>
      </c>
      <c r="I790" s="58">
        <v>12105000000</v>
      </c>
      <c r="J790" s="58">
        <v>32651927000</v>
      </c>
      <c r="K790" s="58"/>
      <c r="L790" s="58">
        <f t="shared" si="615"/>
        <v>8856182000</v>
      </c>
      <c r="M790" s="152">
        <f>15003900000+20186500000</f>
        <v>35190400000</v>
      </c>
      <c r="N790" s="152">
        <v>44046582000</v>
      </c>
      <c r="O790" s="58">
        <f t="shared" si="616"/>
        <v>4774867000</v>
      </c>
      <c r="P790" s="58"/>
      <c r="Q790" s="58">
        <v>4774867000</v>
      </c>
      <c r="R790" s="58">
        <f t="shared" si="617"/>
        <v>1386907000</v>
      </c>
      <c r="S790" s="58"/>
      <c r="T790" s="58">
        <v>1386907000</v>
      </c>
      <c r="U790" s="58">
        <f t="shared" si="618"/>
        <v>717178000</v>
      </c>
      <c r="V790" s="58"/>
      <c r="W790" s="152">
        <v>717178000</v>
      </c>
      <c r="X790" s="58">
        <f t="shared" si="619"/>
        <v>404991000</v>
      </c>
      <c r="Y790" s="58"/>
      <c r="Z790" s="58">
        <v>404991000</v>
      </c>
      <c r="AA790" s="58">
        <f t="shared" si="620"/>
        <v>0</v>
      </c>
      <c r="AB790" s="58"/>
      <c r="AC790" s="58"/>
      <c r="AD790" s="122"/>
      <c r="AE790" s="122"/>
      <c r="AF790" s="122"/>
      <c r="AG790" s="122"/>
      <c r="AH790" s="122"/>
      <c r="AI790" s="122"/>
      <c r="AJ790" s="121">
        <f t="shared" si="613"/>
        <v>12475374</v>
      </c>
      <c r="AK790" s="66">
        <v>401460</v>
      </c>
      <c r="AL790" s="54">
        <v>44831</v>
      </c>
      <c r="AM790" s="116">
        <v>876</v>
      </c>
      <c r="AN790" s="42">
        <f>3351*2550</f>
        <v>8545050</v>
      </c>
      <c r="AO790" s="125">
        <f t="shared" ref="AO790:AO792" si="623">AM790*2700</f>
        <v>2365200</v>
      </c>
      <c r="AP790" s="59">
        <f>30471175+1600000</f>
        <v>32071175</v>
      </c>
      <c r="AQ790" s="102">
        <v>25467260000000</v>
      </c>
      <c r="AR790" s="102">
        <v>192973898000</v>
      </c>
      <c r="AS790" s="102">
        <v>132131749737</v>
      </c>
      <c r="AT790" s="104">
        <v>180251879737</v>
      </c>
      <c r="AU790" s="55">
        <f t="shared" si="543"/>
        <v>68850694</v>
      </c>
      <c r="AV790" s="99">
        <f t="shared" si="595"/>
        <v>18518466213.599998</v>
      </c>
    </row>
    <row r="791" spans="1:48" ht="15">
      <c r="A791" s="28">
        <v>44832</v>
      </c>
      <c r="B791" s="65">
        <v>52574865000</v>
      </c>
      <c r="C791" s="65"/>
      <c r="D791" s="65"/>
      <c r="E791" s="65">
        <v>2693350000</v>
      </c>
      <c r="F791" s="65">
        <f t="shared" si="621"/>
        <v>55268215000</v>
      </c>
      <c r="G791" s="65">
        <f t="shared" si="622"/>
        <v>14922418</v>
      </c>
      <c r="H791" s="58">
        <f>J791-I791</f>
        <v>3549934000</v>
      </c>
      <c r="I791" s="58"/>
      <c r="J791" s="58">
        <v>3549934000</v>
      </c>
      <c r="K791" s="58"/>
      <c r="L791" s="58">
        <f t="shared" si="615"/>
        <v>25805747000</v>
      </c>
      <c r="M791" s="152">
        <v>2485000000</v>
      </c>
      <c r="N791" s="152">
        <v>28290747000</v>
      </c>
      <c r="O791" s="58">
        <f t="shared" si="616"/>
        <v>964654000</v>
      </c>
      <c r="P791" s="58"/>
      <c r="Q791" s="58">
        <v>964654000</v>
      </c>
      <c r="R791" s="58">
        <f t="shared" si="617"/>
        <v>1412426000</v>
      </c>
      <c r="S791" s="58"/>
      <c r="T791" s="58">
        <v>1412426000</v>
      </c>
      <c r="U791" s="58">
        <f t="shared" si="618"/>
        <v>121629000</v>
      </c>
      <c r="V791" s="58"/>
      <c r="W791" s="152">
        <v>121629000</v>
      </c>
      <c r="X791" s="58">
        <f t="shared" si="619"/>
        <v>417783000</v>
      </c>
      <c r="Y791" s="58"/>
      <c r="Z791" s="58">
        <v>417783000</v>
      </c>
      <c r="AA791" s="58">
        <f t="shared" si="620"/>
        <v>0</v>
      </c>
      <c r="AB791" s="58"/>
      <c r="AC791" s="58"/>
      <c r="AD791" s="122"/>
      <c r="AE791" s="122"/>
      <c r="AF791" s="122"/>
      <c r="AG791" s="122"/>
      <c r="AH791" s="122"/>
      <c r="AI791" s="122"/>
      <c r="AJ791" s="121">
        <f t="shared" si="613"/>
        <v>3932695</v>
      </c>
      <c r="AK791" s="66">
        <v>984540</v>
      </c>
      <c r="AL791" s="54">
        <v>44832</v>
      </c>
      <c r="AM791" s="116">
        <v>721</v>
      </c>
      <c r="AN791" s="42">
        <f>3366*2550</f>
        <v>8583300</v>
      </c>
      <c r="AO791" s="125">
        <f t="shared" si="623"/>
        <v>1946700</v>
      </c>
      <c r="AP791" s="59"/>
      <c r="AQ791" s="102">
        <v>27019606000000</v>
      </c>
      <c r="AR791" s="102">
        <v>110997820000</v>
      </c>
      <c r="AS791" s="102">
        <v>38181318170</v>
      </c>
      <c r="AT791" s="104">
        <v>93449533170</v>
      </c>
      <c r="AU791" s="55">
        <f t="shared" si="543"/>
        <v>30369653</v>
      </c>
      <c r="AV791" s="99">
        <f t="shared" si="595"/>
        <v>18548835866.599998</v>
      </c>
    </row>
    <row r="792" spans="1:48" ht="15">
      <c r="A792" s="28">
        <v>44833</v>
      </c>
      <c r="B792" s="65">
        <v>101372432000</v>
      </c>
      <c r="C792" s="65"/>
      <c r="D792" s="65"/>
      <c r="E792" s="65">
        <v>3317795000</v>
      </c>
      <c r="F792" s="65">
        <f t="shared" si="621"/>
        <v>104690227000</v>
      </c>
      <c r="G792" s="65">
        <f t="shared" si="622"/>
        <v>28266361</v>
      </c>
      <c r="H792" s="58">
        <f t="shared" si="614"/>
        <v>14672263000</v>
      </c>
      <c r="I792" s="58">
        <v>71148000000</v>
      </c>
      <c r="J792" s="58">
        <v>85820263000</v>
      </c>
      <c r="K792" s="58"/>
      <c r="L792" s="58">
        <f t="shared" si="615"/>
        <v>10442521000</v>
      </c>
      <c r="M792" s="58"/>
      <c r="N792" s="152">
        <v>10442521000</v>
      </c>
      <c r="O792" s="58">
        <f t="shared" si="616"/>
        <v>768038000</v>
      </c>
      <c r="P792" s="58"/>
      <c r="Q792" s="58">
        <v>768038000</v>
      </c>
      <c r="R792" s="58">
        <f t="shared" si="617"/>
        <v>812575000</v>
      </c>
      <c r="S792" s="58"/>
      <c r="T792" s="58">
        <v>812575000</v>
      </c>
      <c r="U792" s="58">
        <f t="shared" si="618"/>
        <v>120893000</v>
      </c>
      <c r="V792" s="58"/>
      <c r="W792" s="152">
        <v>120893000</v>
      </c>
      <c r="X792" s="58">
        <f t="shared" si="619"/>
        <v>429046000</v>
      </c>
      <c r="Y792" s="122">
        <v>9092400000</v>
      </c>
      <c r="Z792" s="58">
        <v>9521446000</v>
      </c>
      <c r="AA792" s="58">
        <f t="shared" si="620"/>
        <v>952750000</v>
      </c>
      <c r="AB792" s="122"/>
      <c r="AC792" s="58">
        <v>952750000</v>
      </c>
      <c r="AD792" s="122"/>
      <c r="AE792" s="122"/>
      <c r="AF792" s="122"/>
      <c r="AG792" s="122"/>
      <c r="AH792" s="122"/>
      <c r="AI792" s="122"/>
      <c r="AJ792" s="121">
        <f t="shared" ref="AJ792:AJ813" si="624">ROUND(H792*0.0108%+I792*0.018%+K792*0.018%+L792*0.0108%+M792*0.018%+O792*0.0108%+P792*0.018%+R792*0.0108%+S792*0.018%+V792*0.018%+U792*0.0108%+X792*0.0108%+Y792*0.018%+AA792*0.0108%+AB792*0.018%,0)</f>
        <v>17488665</v>
      </c>
      <c r="AK792" s="66">
        <v>1747289.9960000003</v>
      </c>
      <c r="AL792" s="54">
        <v>44833</v>
      </c>
      <c r="AM792" s="116">
        <v>600</v>
      </c>
      <c r="AN792" s="42">
        <f>3668*2550</f>
        <v>9353400</v>
      </c>
      <c r="AO792" s="125">
        <f t="shared" si="623"/>
        <v>1620000</v>
      </c>
      <c r="AP792" s="59"/>
      <c r="AQ792" s="102">
        <v>25776580000000</v>
      </c>
      <c r="AR792" s="102">
        <v>319812164000</v>
      </c>
      <c r="AS792" s="102">
        <v>189555229067</v>
      </c>
      <c r="AT792" s="104">
        <v>294245456067</v>
      </c>
      <c r="AU792" s="55">
        <f t="shared" si="543"/>
        <v>58475715.995999999</v>
      </c>
      <c r="AV792" s="99">
        <f t="shared" si="595"/>
        <v>18607311582.595997</v>
      </c>
    </row>
    <row r="793" spans="1:48" ht="15">
      <c r="A793" s="28">
        <v>44834</v>
      </c>
      <c r="B793" s="65">
        <v>281335456000</v>
      </c>
      <c r="C793" s="65"/>
      <c r="D793" s="65"/>
      <c r="E793" s="65"/>
      <c r="F793" s="65">
        <f>SUM(B793:E793)</f>
        <v>281335456000</v>
      </c>
      <c r="G793" s="65">
        <f>ROUND(F793*0.027%,0)</f>
        <v>75960573</v>
      </c>
      <c r="H793" s="58">
        <f>J793-I793</f>
        <v>19960199000</v>
      </c>
      <c r="I793" s="58">
        <v>197427000000</v>
      </c>
      <c r="J793" s="58">
        <v>217387199000</v>
      </c>
      <c r="K793" s="58"/>
      <c r="L793" s="58">
        <f t="shared" si="615"/>
        <v>21708269000</v>
      </c>
      <c r="M793" s="58"/>
      <c r="N793" s="152">
        <v>21708269000</v>
      </c>
      <c r="O793" s="58">
        <f t="shared" si="616"/>
        <v>851181000</v>
      </c>
      <c r="P793" s="58"/>
      <c r="Q793" s="58">
        <v>851181000</v>
      </c>
      <c r="R793" s="58">
        <f t="shared" si="617"/>
        <v>1052765000</v>
      </c>
      <c r="S793" s="58"/>
      <c r="T793" s="58">
        <v>1052765000</v>
      </c>
      <c r="U793" s="58">
        <f t="shared" si="618"/>
        <v>62434000</v>
      </c>
      <c r="V793" s="58"/>
      <c r="W793" s="152">
        <v>62434000</v>
      </c>
      <c r="X793" s="58">
        <f t="shared" si="619"/>
        <v>18007000</v>
      </c>
      <c r="Y793" s="58">
        <v>4452000000</v>
      </c>
      <c r="Z793" s="58">
        <v>4470007000</v>
      </c>
      <c r="AA793" s="58">
        <f t="shared" si="620"/>
        <v>1220786000</v>
      </c>
      <c r="AB793" s="58"/>
      <c r="AC793" s="58">
        <v>1220786000</v>
      </c>
      <c r="AD793" s="122"/>
      <c r="AE793" s="122"/>
      <c r="AF793" s="122"/>
      <c r="AG793" s="122"/>
      <c r="AH793" s="122"/>
      <c r="AI793" s="122"/>
      <c r="AJ793" s="121">
        <f t="shared" si="624"/>
        <v>41184573</v>
      </c>
      <c r="AK793" s="66">
        <v>3564060</v>
      </c>
      <c r="AL793" s="54">
        <v>44834</v>
      </c>
      <c r="AM793" s="116">
        <v>6767</v>
      </c>
      <c r="AN793" s="42">
        <f>4590*2550*3</f>
        <v>35113500</v>
      </c>
      <c r="AO793" s="125">
        <f>AM793*2700</f>
        <v>18270900</v>
      </c>
      <c r="AP793" s="59"/>
      <c r="AQ793" s="102">
        <v>40178582000000</v>
      </c>
      <c r="AR793" s="102">
        <v>154000172000</v>
      </c>
      <c r="AS793" s="102">
        <v>49419374957</v>
      </c>
      <c r="AT793" s="104">
        <v>193889929957</v>
      </c>
      <c r="AU793" s="55">
        <f t="shared" si="543"/>
        <v>174093606</v>
      </c>
      <c r="AV793" s="99">
        <f t="shared" ref="AV793" si="625">AV792+AU793</f>
        <v>18781405188.595997</v>
      </c>
    </row>
    <row r="794" spans="1:48" ht="15">
      <c r="A794" s="28">
        <v>44837</v>
      </c>
      <c r="B794" s="65">
        <v>61271950000</v>
      </c>
      <c r="C794" s="65">
        <v>30118550000</v>
      </c>
      <c r="D794" s="65"/>
      <c r="E794" s="65"/>
      <c r="F794" s="65">
        <f>SUM(B794:E794)</f>
        <v>91390500000</v>
      </c>
      <c r="G794" s="65">
        <f>ROUND(F794*0.027%,0)</f>
        <v>24675435</v>
      </c>
      <c r="H794" s="58">
        <f t="shared" ref="H794" si="626">J794-I794</f>
        <v>461039000</v>
      </c>
      <c r="I794" s="58">
        <v>21298400000</v>
      </c>
      <c r="J794" s="58">
        <v>21759439000</v>
      </c>
      <c r="K794" s="58"/>
      <c r="L794" s="58">
        <f t="shared" si="615"/>
        <v>2221784000</v>
      </c>
      <c r="M794" s="152">
        <v>36224500000</v>
      </c>
      <c r="N794" s="152">
        <v>38446284000</v>
      </c>
      <c r="O794" s="58">
        <f t="shared" si="616"/>
        <v>1523903000</v>
      </c>
      <c r="P794" s="58"/>
      <c r="Q794" s="58">
        <v>1523903000</v>
      </c>
      <c r="R794" s="58">
        <f t="shared" si="617"/>
        <v>1608273000</v>
      </c>
      <c r="S794" s="58"/>
      <c r="T794" s="58">
        <v>1608273000</v>
      </c>
      <c r="U794" s="58">
        <f t="shared" si="618"/>
        <v>718897000</v>
      </c>
      <c r="V794" s="58"/>
      <c r="W794" s="152">
        <v>718897000</v>
      </c>
      <c r="X794" s="58">
        <f t="shared" si="619"/>
        <v>461877000</v>
      </c>
      <c r="Y794" s="58"/>
      <c r="Z794" s="58">
        <v>461877000</v>
      </c>
      <c r="AA794" s="58">
        <f t="shared" si="620"/>
        <v>400730000</v>
      </c>
      <c r="AB794" s="58"/>
      <c r="AC794" s="58">
        <v>400730000</v>
      </c>
      <c r="AD794" s="122"/>
      <c r="AE794" s="122"/>
      <c r="AF794" s="122"/>
      <c r="AG794" s="122"/>
      <c r="AH794" s="122"/>
      <c r="AI794" s="122"/>
      <c r="AJ794" s="121">
        <f t="shared" si="624"/>
        <v>11152944</v>
      </c>
      <c r="AK794" s="66">
        <v>1541130</v>
      </c>
      <c r="AL794" s="54">
        <v>44837</v>
      </c>
      <c r="AM794" s="116">
        <v>7621</v>
      </c>
      <c r="AN794" s="42">
        <f>4340*2550</f>
        <v>11067000</v>
      </c>
      <c r="AO794" s="125">
        <f>AM794*2700</f>
        <v>20576700</v>
      </c>
      <c r="AP794" s="59"/>
      <c r="AQ794" s="102">
        <v>26350404000000</v>
      </c>
      <c r="AR794" s="102">
        <v>221352440000</v>
      </c>
      <c r="AS794" s="102">
        <v>122849866095</v>
      </c>
      <c r="AT794" s="104">
        <v>214240366095</v>
      </c>
      <c r="AU794" s="55">
        <f t="shared" si="543"/>
        <v>69013209</v>
      </c>
      <c r="AV794" s="99">
        <f t="shared" ref="AV794:AV812" si="627">AV793+AU794</f>
        <v>18850418397.595997</v>
      </c>
    </row>
    <row r="795" spans="1:48" ht="15">
      <c r="A795" s="28">
        <v>44838</v>
      </c>
      <c r="B795" s="65">
        <v>146880570000</v>
      </c>
      <c r="C795" s="65">
        <v>83134490000</v>
      </c>
      <c r="D795" s="65"/>
      <c r="E795" s="65">
        <v>23482325000</v>
      </c>
      <c r="F795" s="65">
        <f t="shared" ref="F795:F797" si="628">SUM(B795:E795)</f>
        <v>253497385000</v>
      </c>
      <c r="G795" s="65">
        <f t="shared" ref="G795:G797" si="629">ROUND(F795*0.027%,0)</f>
        <v>68444294</v>
      </c>
      <c r="H795" s="58">
        <f>J795-I795</f>
        <v>22716336000</v>
      </c>
      <c r="I795" s="58">
        <v>62277200000</v>
      </c>
      <c r="J795" s="58">
        <v>84993536000</v>
      </c>
      <c r="K795" s="58"/>
      <c r="L795" s="58">
        <f t="shared" si="615"/>
        <v>13781877000</v>
      </c>
      <c r="M795" s="152">
        <v>35541500000</v>
      </c>
      <c r="N795" s="152">
        <v>49323377000</v>
      </c>
      <c r="O795" s="58">
        <f t="shared" si="616"/>
        <v>851702000</v>
      </c>
      <c r="P795" s="58"/>
      <c r="Q795" s="58">
        <v>851702000</v>
      </c>
      <c r="R795" s="58">
        <f t="shared" si="617"/>
        <v>1273155000</v>
      </c>
      <c r="S795" s="58"/>
      <c r="T795" s="58">
        <v>1273155000</v>
      </c>
      <c r="U795" s="58">
        <f t="shared" si="618"/>
        <v>416313000</v>
      </c>
      <c r="V795" s="58"/>
      <c r="W795" s="152">
        <v>416313000</v>
      </c>
      <c r="X795" s="58">
        <f t="shared" si="619"/>
        <v>401043000</v>
      </c>
      <c r="Y795" s="58">
        <v>29593000000</v>
      </c>
      <c r="Z795" s="58">
        <v>29994043000</v>
      </c>
      <c r="AA795" s="58">
        <f t="shared" si="620"/>
        <v>645125000</v>
      </c>
      <c r="AB795" s="58"/>
      <c r="AC795" s="58">
        <v>645125000</v>
      </c>
      <c r="AD795" s="122"/>
      <c r="AE795" s="122"/>
      <c r="AF795" s="122"/>
      <c r="AG795" s="122"/>
      <c r="AH795" s="122"/>
      <c r="AI795" s="122"/>
      <c r="AJ795" s="121">
        <f t="shared" si="624"/>
        <v>27263346</v>
      </c>
      <c r="AK795" s="66">
        <v>4348410</v>
      </c>
      <c r="AL795" s="54">
        <v>44838</v>
      </c>
      <c r="AM795" s="116">
        <v>1483</v>
      </c>
      <c r="AN795" s="42">
        <f>5643*2550</f>
        <v>14389650</v>
      </c>
      <c r="AO795" s="125">
        <f t="shared" ref="AO795:AO797" si="630">AM795*2700</f>
        <v>4004100</v>
      </c>
      <c r="AP795" s="59"/>
      <c r="AQ795" s="102">
        <v>27046782000000</v>
      </c>
      <c r="AR795" s="102">
        <v>459297526000</v>
      </c>
      <c r="AS795" s="102">
        <v>295173268970</v>
      </c>
      <c r="AT795" s="104">
        <v>548670653970</v>
      </c>
      <c r="AU795" s="55">
        <f t="shared" si="543"/>
        <v>118449800</v>
      </c>
      <c r="AV795" s="99">
        <f t="shared" si="627"/>
        <v>18968868197.595997</v>
      </c>
    </row>
    <row r="796" spans="1:48" ht="15">
      <c r="A796" s="28">
        <v>44839</v>
      </c>
      <c r="B796" s="65">
        <v>61380477000</v>
      </c>
      <c r="C796" s="65">
        <v>56094285000</v>
      </c>
      <c r="D796" s="65"/>
      <c r="E796" s="65"/>
      <c r="F796" s="65">
        <f t="shared" si="628"/>
        <v>117474762000</v>
      </c>
      <c r="G796" s="65">
        <f t="shared" si="629"/>
        <v>31718186</v>
      </c>
      <c r="H796" s="58">
        <f>J796-I796</f>
        <v>325350000</v>
      </c>
      <c r="I796" s="58">
        <v>18691900000</v>
      </c>
      <c r="J796" s="58">
        <v>19017250000</v>
      </c>
      <c r="K796" s="58"/>
      <c r="L796" s="58">
        <f t="shared" si="615"/>
        <v>28588000</v>
      </c>
      <c r="M796" s="152">
        <v>49238000000</v>
      </c>
      <c r="N796" s="152">
        <v>49266588000</v>
      </c>
      <c r="O796" s="58">
        <f t="shared" si="616"/>
        <v>3193990000</v>
      </c>
      <c r="P796" s="58"/>
      <c r="Q796" s="58">
        <v>3193990000</v>
      </c>
      <c r="R796" s="58">
        <f t="shared" si="617"/>
        <v>3434677000</v>
      </c>
      <c r="S796" s="58"/>
      <c r="T796" s="58">
        <v>3434677000</v>
      </c>
      <c r="U796" s="58">
        <f t="shared" si="618"/>
        <v>124605000</v>
      </c>
      <c r="V796" s="58"/>
      <c r="W796" s="152">
        <v>124605000</v>
      </c>
      <c r="X796" s="58">
        <f t="shared" si="619"/>
        <v>10252730000</v>
      </c>
      <c r="Y796" s="58"/>
      <c r="Z796" s="58">
        <v>10252730000</v>
      </c>
      <c r="AA796" s="58">
        <f t="shared" si="620"/>
        <v>113551000</v>
      </c>
      <c r="AB796" s="58"/>
      <c r="AC796" s="58">
        <v>113551000</v>
      </c>
      <c r="AD796" s="122"/>
      <c r="AE796" s="122"/>
      <c r="AF796" s="122"/>
      <c r="AG796" s="122"/>
      <c r="AH796" s="122"/>
      <c r="AI796" s="122"/>
      <c r="AJ796" s="121">
        <f t="shared" si="624"/>
        <v>14114519</v>
      </c>
      <c r="AK796" s="66">
        <v>1717440</v>
      </c>
      <c r="AL796" s="54">
        <v>44839</v>
      </c>
      <c r="AM796" s="116">
        <v>796</v>
      </c>
      <c r="AN796" s="42">
        <f>5735*2550</f>
        <v>14624250</v>
      </c>
      <c r="AO796" s="125">
        <f t="shared" si="630"/>
        <v>2149200</v>
      </c>
      <c r="AP796" s="59"/>
      <c r="AQ796" s="102">
        <v>21546990000000</v>
      </c>
      <c r="AR796" s="102">
        <v>301295380000</v>
      </c>
      <c r="AS796" s="102">
        <v>163717238829</v>
      </c>
      <c r="AT796" s="104">
        <v>281192000829</v>
      </c>
      <c r="AU796" s="55">
        <f t="shared" si="543"/>
        <v>64323595</v>
      </c>
      <c r="AV796" s="99">
        <f t="shared" si="627"/>
        <v>19033191792.595997</v>
      </c>
    </row>
    <row r="797" spans="1:48" ht="15">
      <c r="A797" s="28">
        <v>44840</v>
      </c>
      <c r="B797" s="65">
        <v>47880205000</v>
      </c>
      <c r="C797" s="65">
        <v>66822075000</v>
      </c>
      <c r="D797" s="65"/>
      <c r="E797" s="65">
        <v>15324675000</v>
      </c>
      <c r="F797" s="65">
        <f t="shared" si="628"/>
        <v>130026955000</v>
      </c>
      <c r="G797" s="65">
        <f t="shared" si="629"/>
        <v>35107278</v>
      </c>
      <c r="H797" s="58">
        <f t="shared" ref="H797" si="631">J797-I797</f>
        <v>1854000000</v>
      </c>
      <c r="I797" s="58">
        <v>37815800000</v>
      </c>
      <c r="J797" s="58">
        <v>39669800000</v>
      </c>
      <c r="K797" s="58"/>
      <c r="L797" s="58">
        <f t="shared" si="615"/>
        <v>473100000</v>
      </c>
      <c r="M797" s="58">
        <v>42833000000</v>
      </c>
      <c r="N797" s="152">
        <v>43306100000</v>
      </c>
      <c r="O797" s="58">
        <f t="shared" si="616"/>
        <v>1059262000</v>
      </c>
      <c r="P797" s="58"/>
      <c r="Q797" s="58">
        <v>1059262000</v>
      </c>
      <c r="R797" s="58">
        <f t="shared" si="617"/>
        <v>1632467000</v>
      </c>
      <c r="S797" s="58"/>
      <c r="T797" s="58">
        <v>1632467000</v>
      </c>
      <c r="U797" s="58">
        <f t="shared" si="618"/>
        <v>175247000</v>
      </c>
      <c r="V797" s="58"/>
      <c r="W797" s="152">
        <v>175247000</v>
      </c>
      <c r="X797" s="58">
        <f t="shared" si="619"/>
        <v>34340000</v>
      </c>
      <c r="Y797" s="122"/>
      <c r="Z797" s="58">
        <v>34340000</v>
      </c>
      <c r="AA797" s="58">
        <f t="shared" si="620"/>
        <v>347961000</v>
      </c>
      <c r="AB797" s="122"/>
      <c r="AC797" s="58">
        <v>347961000</v>
      </c>
      <c r="AD797" s="122"/>
      <c r="AE797" s="122"/>
      <c r="AF797" s="122"/>
      <c r="AG797" s="122"/>
      <c r="AH797" s="122"/>
      <c r="AI797" s="122"/>
      <c r="AJ797" s="121">
        <f t="shared" si="624"/>
        <v>15119033</v>
      </c>
      <c r="AK797" s="66">
        <v>1858590</v>
      </c>
      <c r="AL797" s="54">
        <v>44840</v>
      </c>
      <c r="AM797" s="116">
        <v>527</v>
      </c>
      <c r="AN797" s="42">
        <f>5698*2550</f>
        <v>14529900</v>
      </c>
      <c r="AO797" s="125">
        <f t="shared" si="630"/>
        <v>1422900</v>
      </c>
      <c r="AP797" s="59"/>
      <c r="AQ797" s="102">
        <v>25379782000000</v>
      </c>
      <c r="AR797" s="102">
        <v>276871372000</v>
      </c>
      <c r="AS797" s="102">
        <v>167297604383</v>
      </c>
      <c r="AT797" s="104">
        <v>297324559383</v>
      </c>
      <c r="AU797" s="55">
        <f t="shared" si="543"/>
        <v>68037701</v>
      </c>
      <c r="AV797" s="99">
        <f t="shared" si="627"/>
        <v>19101229493.595997</v>
      </c>
    </row>
    <row r="798" spans="1:48" ht="15">
      <c r="A798" s="28">
        <v>44841</v>
      </c>
      <c r="B798" s="65">
        <v>185112160000</v>
      </c>
      <c r="C798" s="65">
        <v>58524565000</v>
      </c>
      <c r="D798" s="65"/>
      <c r="E798" s="65">
        <v>4277405000</v>
      </c>
      <c r="F798" s="65">
        <f>SUM(B798:E798)</f>
        <v>247914130000</v>
      </c>
      <c r="G798" s="65">
        <f>ROUND(F798*0.027%,0)</f>
        <v>66936815</v>
      </c>
      <c r="H798" s="58">
        <f>J798-I798</f>
        <v>5357000</v>
      </c>
      <c r="I798" s="58">
        <v>51322400000</v>
      </c>
      <c r="J798" s="58">
        <v>51327757000</v>
      </c>
      <c r="K798" s="58"/>
      <c r="L798" s="58">
        <f>N798-M798</f>
        <v>10232440000</v>
      </c>
      <c r="M798" s="58">
        <v>124877600000</v>
      </c>
      <c r="N798" s="152">
        <v>135110040000</v>
      </c>
      <c r="O798" s="58">
        <f>Q798-P798</f>
        <v>524402000</v>
      </c>
      <c r="P798" s="58"/>
      <c r="Q798" s="58">
        <v>524402000</v>
      </c>
      <c r="R798" s="58">
        <f>T798-S798</f>
        <v>1665122000</v>
      </c>
      <c r="S798" s="58"/>
      <c r="T798" s="58">
        <v>1665122000</v>
      </c>
      <c r="U798" s="58">
        <f>W798-V798</f>
        <v>137393000</v>
      </c>
      <c r="V798" s="58"/>
      <c r="W798" s="152">
        <v>137393000</v>
      </c>
      <c r="X798" s="58">
        <f>Z798-Y798</f>
        <v>395804000</v>
      </c>
      <c r="Y798" s="58">
        <v>183000000</v>
      </c>
      <c r="Z798" s="58">
        <v>578804000</v>
      </c>
      <c r="AA798" s="58">
        <f>AC798-AB798</f>
        <v>255356000</v>
      </c>
      <c r="AB798" s="58"/>
      <c r="AC798" s="58">
        <v>255356000</v>
      </c>
      <c r="AD798" s="122"/>
      <c r="AE798" s="122"/>
      <c r="AF798" s="122"/>
      <c r="AG798" s="122"/>
      <c r="AH798" s="122"/>
      <c r="AI798" s="122"/>
      <c r="AJ798" s="121">
        <f t="shared" si="624"/>
        <v>33176254</v>
      </c>
      <c r="AK798" s="66">
        <v>4538400</v>
      </c>
      <c r="AL798" s="54">
        <v>44841</v>
      </c>
      <c r="AM798" s="116">
        <v>1725</v>
      </c>
      <c r="AN798" s="42">
        <f>4683*2550*3</f>
        <v>35824950</v>
      </c>
      <c r="AO798" s="125">
        <f>AM798*2700</f>
        <v>4657500</v>
      </c>
      <c r="AP798" s="59"/>
      <c r="AQ798" s="102">
        <v>37678718000000</v>
      </c>
      <c r="AR798" s="102">
        <v>502936896000</v>
      </c>
      <c r="AS798" s="102">
        <v>366514722689</v>
      </c>
      <c r="AT798" s="104">
        <v>614428852689</v>
      </c>
      <c r="AU798" s="55">
        <f t="shared" si="543"/>
        <v>145133919</v>
      </c>
      <c r="AV798" s="99">
        <f t="shared" si="627"/>
        <v>19246363412.595997</v>
      </c>
    </row>
    <row r="799" spans="1:48" ht="15">
      <c r="A799" s="28">
        <v>44844</v>
      </c>
      <c r="B799" s="65">
        <v>167254560000</v>
      </c>
      <c r="C799" s="65">
        <v>54270812000</v>
      </c>
      <c r="D799" s="65"/>
      <c r="E799" s="65"/>
      <c r="F799" s="65">
        <f>SUM(B799:E799)</f>
        <v>221525372000</v>
      </c>
      <c r="G799" s="65">
        <f>ROUND(F799*0.027%,0)</f>
        <v>59811850</v>
      </c>
      <c r="H799" s="58">
        <f t="shared" ref="H799" si="632">J799-I799</f>
        <v>156855000</v>
      </c>
      <c r="I799" s="58">
        <v>31758500000</v>
      </c>
      <c r="J799" s="58">
        <v>31915355000</v>
      </c>
      <c r="K799" s="58"/>
      <c r="L799" s="58">
        <f t="shared" ref="L799" si="633">N799-M799</f>
        <v>3142563000</v>
      </c>
      <c r="M799" s="152">
        <v>26356000000</v>
      </c>
      <c r="N799" s="152">
        <v>29498563000</v>
      </c>
      <c r="O799" s="58">
        <f t="shared" ref="O799" si="634">Q799-P799</f>
        <v>3129282000</v>
      </c>
      <c r="P799" s="58"/>
      <c r="Q799" s="58">
        <v>3129282000</v>
      </c>
      <c r="R799" s="58">
        <f t="shared" ref="R799" si="635">T799-S799</f>
        <v>1240864000</v>
      </c>
      <c r="S799" s="58"/>
      <c r="T799" s="58">
        <v>1240864000</v>
      </c>
      <c r="U799" s="58">
        <f t="shared" ref="U799" si="636">W799-V799</f>
        <v>274927000</v>
      </c>
      <c r="V799" s="58"/>
      <c r="W799" s="152">
        <v>274927000</v>
      </c>
      <c r="X799" s="58">
        <f t="shared" ref="X799" si="637">Z799-Y799</f>
        <v>548407000</v>
      </c>
      <c r="Y799" s="58"/>
      <c r="Z799" s="58">
        <v>548407000</v>
      </c>
      <c r="AA799" s="58">
        <f t="shared" ref="AA799" si="638">AC799-AB799</f>
        <v>61348000</v>
      </c>
      <c r="AB799" s="58"/>
      <c r="AC799" s="58">
        <v>61348000</v>
      </c>
      <c r="AD799" s="122"/>
      <c r="AE799" s="122"/>
      <c r="AF799" s="122"/>
      <c r="AG799" s="122"/>
      <c r="AH799" s="122"/>
      <c r="AI799" s="122"/>
      <c r="AJ799" s="121">
        <f t="shared" si="624"/>
        <v>11384469</v>
      </c>
      <c r="AK799" s="66">
        <v>2813130</v>
      </c>
      <c r="AL799" s="54">
        <v>44844</v>
      </c>
      <c r="AM799" s="116">
        <v>2212</v>
      </c>
      <c r="AN799" s="42">
        <f>5105*2550</f>
        <v>13017750</v>
      </c>
      <c r="AO799" s="125">
        <f>AM799*2700</f>
        <v>5972400</v>
      </c>
      <c r="AP799" s="59"/>
      <c r="AQ799" s="102">
        <v>32946586000000</v>
      </c>
      <c r="AR799" s="102">
        <v>211763528000</v>
      </c>
      <c r="AS799" s="102">
        <v>125446781315</v>
      </c>
      <c r="AT799" s="104">
        <v>345972153315</v>
      </c>
      <c r="AU799" s="55">
        <f t="shared" si="543"/>
        <v>92999599</v>
      </c>
      <c r="AV799" s="99">
        <f t="shared" si="627"/>
        <v>19339363011.595997</v>
      </c>
    </row>
    <row r="800" spans="1:48" ht="15">
      <c r="A800" s="28">
        <v>44845</v>
      </c>
      <c r="B800" s="65">
        <v>162494405000</v>
      </c>
      <c r="C800" s="65">
        <v>66767575000</v>
      </c>
      <c r="D800" s="65"/>
      <c r="E800" s="65">
        <v>4161676000</v>
      </c>
      <c r="F800" s="65">
        <f t="shared" ref="F800:F802" si="639">SUM(B800:E800)</f>
        <v>233423656000</v>
      </c>
      <c r="G800" s="65">
        <f t="shared" ref="G800:G802" si="640">ROUND(F800*0.027%,0)</f>
        <v>63024387</v>
      </c>
      <c r="H800" s="58">
        <f>J800-I800</f>
        <v>8542341000</v>
      </c>
      <c r="I800" s="58">
        <v>37351900000</v>
      </c>
      <c r="J800" s="58">
        <v>45894241000</v>
      </c>
      <c r="K800" s="58"/>
      <c r="L800" s="58">
        <f>N800-M800</f>
        <v>19385642000</v>
      </c>
      <c r="M800" s="152">
        <v>23758000000</v>
      </c>
      <c r="N800" s="152">
        <v>43143642000</v>
      </c>
      <c r="O800" s="58">
        <f>Q800-P800</f>
        <v>1009760000</v>
      </c>
      <c r="P800" s="58"/>
      <c r="Q800" s="58">
        <v>1009760000</v>
      </c>
      <c r="R800" s="58">
        <f>T800-S800</f>
        <v>1278010000</v>
      </c>
      <c r="S800" s="58"/>
      <c r="T800" s="58">
        <v>1278010000</v>
      </c>
      <c r="U800" s="58">
        <f>W800-V800</f>
        <v>149782000</v>
      </c>
      <c r="V800" s="58"/>
      <c r="W800" s="152">
        <v>149782000</v>
      </c>
      <c r="X800" s="58">
        <f>Z800-Y800</f>
        <v>230753000</v>
      </c>
      <c r="Y800" s="58"/>
      <c r="Z800" s="58">
        <v>230753000</v>
      </c>
      <c r="AA800" s="58">
        <f>AC800-AB800</f>
        <v>148520000</v>
      </c>
      <c r="AB800" s="58"/>
      <c r="AC800" s="58">
        <v>148520000</v>
      </c>
      <c r="AD800" s="122"/>
      <c r="AE800" s="122"/>
      <c r="AF800" s="122"/>
      <c r="AG800" s="122"/>
      <c r="AH800" s="122"/>
      <c r="AI800" s="122"/>
      <c r="AJ800" s="121">
        <f t="shared" si="624"/>
        <v>14320221</v>
      </c>
      <c r="AK800" s="66">
        <f>6178110-3191530</f>
        <v>2986580</v>
      </c>
      <c r="AL800" s="54">
        <v>44845</v>
      </c>
      <c r="AM800" s="116">
        <v>2516</v>
      </c>
      <c r="AN800" s="42">
        <f>4181*2550</f>
        <v>10661550</v>
      </c>
      <c r="AO800" s="125">
        <f t="shared" ref="AO800:AO802" si="641">AM800*2700</f>
        <v>6793200</v>
      </c>
      <c r="AP800" s="59"/>
      <c r="AQ800" s="102">
        <v>29146466000000</v>
      </c>
      <c r="AR800" s="102">
        <v>274778746000</v>
      </c>
      <c r="AS800" s="102">
        <v>153368781331</v>
      </c>
      <c r="AT800" s="104">
        <v>386792437331</v>
      </c>
      <c r="AU800" s="55">
        <f t="shared" si="543"/>
        <v>97785938</v>
      </c>
      <c r="AV800" s="99">
        <f t="shared" si="627"/>
        <v>19437148949.595997</v>
      </c>
    </row>
    <row r="801" spans="1:48" ht="15">
      <c r="A801" s="28">
        <v>44846</v>
      </c>
      <c r="B801" s="65">
        <v>176809410000</v>
      </c>
      <c r="C801" s="65">
        <v>39322812000</v>
      </c>
      <c r="D801" s="65"/>
      <c r="E801" s="65"/>
      <c r="F801" s="65">
        <f t="shared" si="639"/>
        <v>216132222000</v>
      </c>
      <c r="G801" s="65">
        <f t="shared" si="640"/>
        <v>58355700</v>
      </c>
      <c r="H801" s="58">
        <f>J801-I801</f>
        <v>9633538000</v>
      </c>
      <c r="I801" s="58">
        <v>38857700000</v>
      </c>
      <c r="J801" s="58">
        <v>48491238000</v>
      </c>
      <c r="K801" s="58"/>
      <c r="L801" s="58">
        <f>N801-M801</f>
        <v>4840297000</v>
      </c>
      <c r="M801" s="152">
        <v>8786000000</v>
      </c>
      <c r="N801" s="152">
        <v>13626297000</v>
      </c>
      <c r="O801" s="58">
        <f>Q801-P801</f>
        <v>1146718000</v>
      </c>
      <c r="P801" s="58"/>
      <c r="Q801" s="58">
        <v>1146718000</v>
      </c>
      <c r="R801" s="58">
        <f>T801-S801</f>
        <v>920204000</v>
      </c>
      <c r="S801" s="58"/>
      <c r="T801" s="58">
        <v>920204000</v>
      </c>
      <c r="U801" s="58">
        <f>W801-V801</f>
        <v>144892000</v>
      </c>
      <c r="V801" s="58"/>
      <c r="W801" s="152">
        <v>144892000</v>
      </c>
      <c r="X801" s="58">
        <f>Z801-Y801</f>
        <v>194432000</v>
      </c>
      <c r="Y801" s="58">
        <v>33840000000</v>
      </c>
      <c r="Z801" s="58">
        <v>34034432000</v>
      </c>
      <c r="AA801" s="58">
        <f>AC801-AB801</f>
        <v>80006000</v>
      </c>
      <c r="AB801" s="58"/>
      <c r="AC801" s="58">
        <v>80006000</v>
      </c>
      <c r="AD801" s="122"/>
      <c r="AE801" s="122"/>
      <c r="AF801" s="122"/>
      <c r="AG801" s="122"/>
      <c r="AH801" s="122"/>
      <c r="AI801" s="122"/>
      <c r="AJ801" s="121">
        <f t="shared" si="624"/>
        <v>16498755</v>
      </c>
      <c r="AK801" s="66">
        <v>4955760</v>
      </c>
      <c r="AL801" s="54">
        <v>44846</v>
      </c>
      <c r="AM801" s="116">
        <v>2449</v>
      </c>
      <c r="AN801" s="42">
        <f>3768*2550</f>
        <v>9608400</v>
      </c>
      <c r="AO801" s="125">
        <f t="shared" si="641"/>
        <v>6612300</v>
      </c>
      <c r="AP801" s="59"/>
      <c r="AQ801" s="102">
        <v>25615292000000</v>
      </c>
      <c r="AR801" s="102">
        <v>313998148000</v>
      </c>
      <c r="AS801" s="102">
        <v>180509294572</v>
      </c>
      <c r="AT801" s="104">
        <v>396607162572</v>
      </c>
      <c r="AU801" s="55">
        <f t="shared" si="543"/>
        <v>96030915</v>
      </c>
      <c r="AV801" s="99">
        <f t="shared" si="627"/>
        <v>19533179864.595997</v>
      </c>
    </row>
    <row r="802" spans="1:48" ht="15">
      <c r="A802" s="28">
        <v>44847</v>
      </c>
      <c r="B802" s="65">
        <v>143588452000</v>
      </c>
      <c r="C802" s="65">
        <v>1426765000</v>
      </c>
      <c r="D802" s="65"/>
      <c r="E802" s="65"/>
      <c r="F802" s="65">
        <f t="shared" si="639"/>
        <v>145015217000</v>
      </c>
      <c r="G802" s="65">
        <f t="shared" si="640"/>
        <v>39154109</v>
      </c>
      <c r="H802" s="58">
        <f t="shared" ref="H802" si="642">J802-I802</f>
        <v>9786285000</v>
      </c>
      <c r="I802" s="58"/>
      <c r="J802" s="58">
        <v>9786285000</v>
      </c>
      <c r="K802" s="58"/>
      <c r="L802" s="58">
        <f t="shared" ref="L802" si="643">N802-M802</f>
        <v>15036192000</v>
      </c>
      <c r="M802" s="58">
        <v>3349228000</v>
      </c>
      <c r="N802" s="152">
        <v>18385420000</v>
      </c>
      <c r="O802" s="58">
        <f t="shared" ref="O802" si="644">Q802-P802</f>
        <v>1231238000</v>
      </c>
      <c r="P802" s="58"/>
      <c r="Q802" s="58">
        <v>1231238000</v>
      </c>
      <c r="R802" s="58">
        <f t="shared" ref="R802" si="645">T802-S802</f>
        <v>476330000</v>
      </c>
      <c r="S802" s="58"/>
      <c r="T802" s="58">
        <v>476330000</v>
      </c>
      <c r="U802" s="58">
        <f t="shared" ref="U802" si="646">W802-V802</f>
        <v>26482000</v>
      </c>
      <c r="V802" s="58"/>
      <c r="W802" s="152">
        <v>26482000</v>
      </c>
      <c r="X802" s="58">
        <f t="shared" ref="X802" si="647">Z802-Y802</f>
        <v>378250000</v>
      </c>
      <c r="Y802" s="122">
        <v>26700000000</v>
      </c>
      <c r="Z802" s="58">
        <v>27078250000</v>
      </c>
      <c r="AA802" s="58">
        <f t="shared" ref="AA802" si="648">AC802-AB802</f>
        <v>3312957000</v>
      </c>
      <c r="AB802" s="122"/>
      <c r="AC802" s="58">
        <v>3312957000</v>
      </c>
      <c r="AD802" s="122"/>
      <c r="AE802" s="122"/>
      <c r="AF802" s="122"/>
      <c r="AG802" s="122"/>
      <c r="AH802" s="122"/>
      <c r="AI802" s="122"/>
      <c r="AJ802" s="121">
        <f t="shared" si="624"/>
        <v>8675616</v>
      </c>
      <c r="AK802" s="66">
        <v>5287230</v>
      </c>
      <c r="AL802" s="54">
        <v>44847</v>
      </c>
      <c r="AM802" s="116">
        <v>1532</v>
      </c>
      <c r="AN802" s="42">
        <f>2406*2550</f>
        <v>6135300</v>
      </c>
      <c r="AO802" s="125">
        <f t="shared" si="641"/>
        <v>4136400</v>
      </c>
      <c r="AP802" s="59"/>
      <c r="AQ802" s="102">
        <v>19680670000000</v>
      </c>
      <c r="AR802" s="102">
        <v>218587628000</v>
      </c>
      <c r="AS802" s="102">
        <v>91075090000</v>
      </c>
      <c r="AT802" s="104">
        <v>236090307000</v>
      </c>
      <c r="AU802" s="55">
        <f t="shared" si="543"/>
        <v>63388655</v>
      </c>
      <c r="AV802" s="99">
        <f t="shared" si="627"/>
        <v>19596568519.595997</v>
      </c>
    </row>
    <row r="803" spans="1:48" ht="15">
      <c r="A803" s="28">
        <v>44848</v>
      </c>
      <c r="B803" s="65">
        <v>21334830000</v>
      </c>
      <c r="C803" s="65"/>
      <c r="D803" s="65"/>
      <c r="E803" s="65">
        <v>5784490000</v>
      </c>
      <c r="F803" s="65">
        <f>SUM(B803:E803)</f>
        <v>27119320000</v>
      </c>
      <c r="G803" s="65">
        <f>ROUND(F803*0.027%,0)</f>
        <v>7322216</v>
      </c>
      <c r="H803" s="58">
        <f>J803-I803</f>
        <v>8382926000</v>
      </c>
      <c r="I803" s="58"/>
      <c r="J803" s="58">
        <v>8382926000</v>
      </c>
      <c r="K803" s="58"/>
      <c r="L803" s="58">
        <f>N803-M803</f>
        <v>3640480000</v>
      </c>
      <c r="M803" s="58"/>
      <c r="N803" s="152">
        <v>3640480000</v>
      </c>
      <c r="O803" s="58">
        <f>Q803-P803</f>
        <v>624143000</v>
      </c>
      <c r="P803" s="58"/>
      <c r="Q803" s="58">
        <v>624143000</v>
      </c>
      <c r="R803" s="58">
        <f>T803-S803</f>
        <v>468373000</v>
      </c>
      <c r="S803" s="58"/>
      <c r="T803" s="58">
        <v>468373000</v>
      </c>
      <c r="U803" s="58">
        <f>W803-V803</f>
        <v>115935000</v>
      </c>
      <c r="V803" s="58"/>
      <c r="W803" s="152">
        <v>115935000</v>
      </c>
      <c r="X803" s="58">
        <f>Z803-Y803</f>
        <v>364254000</v>
      </c>
      <c r="Y803" s="58"/>
      <c r="Z803" s="58">
        <v>364254000</v>
      </c>
      <c r="AA803" s="58">
        <f>AC803-AB803</f>
        <v>36202000</v>
      </c>
      <c r="AB803" s="58"/>
      <c r="AC803" s="58">
        <v>36202000</v>
      </c>
      <c r="AD803" s="122"/>
      <c r="AE803" s="122"/>
      <c r="AF803" s="122"/>
      <c r="AG803" s="122"/>
      <c r="AH803" s="122"/>
      <c r="AI803" s="122"/>
      <c r="AJ803" s="121">
        <f t="shared" si="624"/>
        <v>1472290</v>
      </c>
      <c r="AK803" s="66">
        <v>838470</v>
      </c>
      <c r="AL803" s="54">
        <v>44848</v>
      </c>
      <c r="AM803" s="116">
        <v>423</v>
      </c>
      <c r="AN803" s="42">
        <v>17189550</v>
      </c>
      <c r="AO803" s="125">
        <f>AM803*2700</f>
        <v>1142100</v>
      </c>
      <c r="AP803" s="59"/>
      <c r="AQ803" s="102">
        <v>32209264000000</v>
      </c>
      <c r="AR803" s="102">
        <v>116778000000</v>
      </c>
      <c r="AS803" s="102">
        <v>14616223622</v>
      </c>
      <c r="AT803" s="104">
        <v>41735543622</v>
      </c>
      <c r="AU803" s="55">
        <f t="shared" si="543"/>
        <v>27964626</v>
      </c>
      <c r="AV803" s="99">
        <f t="shared" si="627"/>
        <v>19624533145.595997</v>
      </c>
    </row>
    <row r="804" spans="1:48" ht="15">
      <c r="A804" s="28">
        <v>44851</v>
      </c>
      <c r="B804" s="65">
        <v>20805087000</v>
      </c>
      <c r="C804" s="65"/>
      <c r="D804" s="65"/>
      <c r="E804" s="65"/>
      <c r="F804" s="65">
        <f>SUM(B804:E804)</f>
        <v>20805087000</v>
      </c>
      <c r="G804" s="65">
        <f>ROUND(F804*0.027%,0)</f>
        <v>5617373</v>
      </c>
      <c r="H804" s="58">
        <f t="shared" ref="H804" si="649">J804-I804</f>
        <v>22592178000</v>
      </c>
      <c r="I804" s="58"/>
      <c r="J804" s="58">
        <v>22592178000</v>
      </c>
      <c r="K804" s="58"/>
      <c r="L804" s="58">
        <f t="shared" ref="L804" si="650">N804-M804</f>
        <v>19221332000</v>
      </c>
      <c r="M804" s="152"/>
      <c r="N804" s="152">
        <v>19221332000</v>
      </c>
      <c r="O804" s="58">
        <f t="shared" ref="O804" si="651">Q804-P804</f>
        <v>2099912000</v>
      </c>
      <c r="P804" s="58"/>
      <c r="Q804" s="58">
        <v>2099912000</v>
      </c>
      <c r="R804" s="58">
        <f t="shared" ref="R804" si="652">T804-S804</f>
        <v>1033018000</v>
      </c>
      <c r="S804" s="58"/>
      <c r="T804" s="58">
        <v>1033018000</v>
      </c>
      <c r="U804" s="58">
        <f t="shared" ref="U804" si="653">W804-V804</f>
        <v>161462000</v>
      </c>
      <c r="V804" s="58"/>
      <c r="W804" s="152">
        <v>161462000</v>
      </c>
      <c r="X804" s="58">
        <f t="shared" ref="X804" si="654">Z804-Y804</f>
        <v>343742000</v>
      </c>
      <c r="Y804" s="58"/>
      <c r="Z804" s="58">
        <v>343742000</v>
      </c>
      <c r="AA804" s="58">
        <f t="shared" ref="AA804" si="655">AC804-AB804</f>
        <v>91076000</v>
      </c>
      <c r="AB804" s="58"/>
      <c r="AC804" s="58">
        <v>91076000</v>
      </c>
      <c r="AD804" s="122"/>
      <c r="AE804" s="122"/>
      <c r="AF804" s="122"/>
      <c r="AG804" s="122"/>
      <c r="AH804" s="122"/>
      <c r="AI804" s="122"/>
      <c r="AJ804" s="121">
        <f t="shared" si="624"/>
        <v>4918614</v>
      </c>
      <c r="AK804" s="66">
        <v>2344380</v>
      </c>
      <c r="AL804" s="54">
        <v>44851</v>
      </c>
      <c r="AM804" s="116">
        <v>870</v>
      </c>
      <c r="AN804" s="42">
        <v>4123350</v>
      </c>
      <c r="AO804" s="125">
        <f>AM804*2700</f>
        <v>2349000</v>
      </c>
      <c r="AP804" s="59"/>
      <c r="AQ804" s="102">
        <v>21751404000000</v>
      </c>
      <c r="AR804" s="102">
        <v>107118000000</v>
      </c>
      <c r="AS804" s="102">
        <v>46281924189</v>
      </c>
      <c r="AT804" s="104">
        <v>67087011189</v>
      </c>
      <c r="AU804" s="55">
        <f t="shared" si="543"/>
        <v>19352717</v>
      </c>
      <c r="AV804" s="99">
        <f t="shared" si="627"/>
        <v>19643885862.595997</v>
      </c>
    </row>
    <row r="805" spans="1:48" ht="15">
      <c r="A805" s="28">
        <v>44852</v>
      </c>
      <c r="B805" s="65">
        <v>63004540000</v>
      </c>
      <c r="C805" s="65"/>
      <c r="D805" s="65"/>
      <c r="E805" s="65">
        <v>5867205000</v>
      </c>
      <c r="F805" s="65">
        <f>SUM(B805:E805)</f>
        <v>68871745000</v>
      </c>
      <c r="G805" s="65">
        <f t="shared" ref="G805:G807" si="656">ROUND(F805*0.027%,0)</f>
        <v>18595371</v>
      </c>
      <c r="H805" s="58">
        <f>J805-I805</f>
        <v>145590000</v>
      </c>
      <c r="I805" s="58">
        <v>11519150000</v>
      </c>
      <c r="J805" s="58">
        <v>11664740000</v>
      </c>
      <c r="K805" s="58"/>
      <c r="L805" s="58">
        <f>N805-M805</f>
        <v>11410719000</v>
      </c>
      <c r="M805" s="152">
        <v>22321500000</v>
      </c>
      <c r="N805" s="152">
        <v>33732219000</v>
      </c>
      <c r="O805" s="58">
        <f>Q805-P805</f>
        <v>840556000</v>
      </c>
      <c r="P805" s="58"/>
      <c r="Q805" s="58">
        <v>840556000</v>
      </c>
      <c r="R805" s="58">
        <f>T805-S805</f>
        <v>604171000</v>
      </c>
      <c r="S805" s="58"/>
      <c r="T805" s="58">
        <v>604171000</v>
      </c>
      <c r="U805" s="58">
        <f>W805-V805</f>
        <v>131595000</v>
      </c>
      <c r="V805" s="58"/>
      <c r="W805" s="152">
        <v>131595000</v>
      </c>
      <c r="X805" s="58">
        <f>Z805-Y805</f>
        <v>348874000</v>
      </c>
      <c r="Y805" s="58">
        <v>2076900000</v>
      </c>
      <c r="Z805" s="58">
        <v>2425774000</v>
      </c>
      <c r="AA805" s="58">
        <f>AC805-AB805</f>
        <v>1069195000</v>
      </c>
      <c r="AB805" s="58"/>
      <c r="AC805" s="58">
        <v>1069195000</v>
      </c>
      <c r="AD805" s="122"/>
      <c r="AE805" s="122"/>
      <c r="AF805" s="122"/>
      <c r="AG805" s="122"/>
      <c r="AH805" s="122"/>
      <c r="AI805" s="122"/>
      <c r="AJ805" s="121">
        <f t="shared" si="624"/>
        <v>8036635</v>
      </c>
      <c r="AK805" s="66">
        <v>820950</v>
      </c>
      <c r="AL805" s="54">
        <v>44852</v>
      </c>
      <c r="AM805" s="116">
        <v>786</v>
      </c>
      <c r="AN805" s="42">
        <v>3669450</v>
      </c>
      <c r="AO805" s="125">
        <f t="shared" ref="AO805:AO807" si="657">AM805*2700</f>
        <v>2122200</v>
      </c>
      <c r="AP805" s="59"/>
      <c r="AQ805" s="102">
        <v>23822382000000</v>
      </c>
      <c r="AR805" s="102">
        <v>185220840000</v>
      </c>
      <c r="AS805" s="102">
        <v>87167895341</v>
      </c>
      <c r="AT805" s="104">
        <v>156039500541</v>
      </c>
      <c r="AU805" s="55">
        <f t="shared" si="543"/>
        <v>33244606</v>
      </c>
      <c r="AV805" s="99">
        <f t="shared" si="627"/>
        <v>19677130468.595997</v>
      </c>
    </row>
    <row r="806" spans="1:48" ht="15">
      <c r="A806" s="28">
        <v>44853</v>
      </c>
      <c r="B806" s="65">
        <v>64552240000</v>
      </c>
      <c r="C806" s="65"/>
      <c r="D806" s="65"/>
      <c r="E806" s="65"/>
      <c r="F806" s="65">
        <f t="shared" ref="F806:F807" si="658">SUM(B806:E806)</f>
        <v>64552240000</v>
      </c>
      <c r="G806" s="65">
        <f t="shared" si="656"/>
        <v>17429105</v>
      </c>
      <c r="H806" s="58">
        <f>J806-I806</f>
        <v>10768816000</v>
      </c>
      <c r="I806" s="58">
        <v>25188800000</v>
      </c>
      <c r="J806" s="58">
        <v>35957616000</v>
      </c>
      <c r="K806" s="58"/>
      <c r="L806" s="58">
        <f>N806-M806</f>
        <v>630135000</v>
      </c>
      <c r="M806" s="152">
        <v>54998500000</v>
      </c>
      <c r="N806" s="152">
        <v>55628635000</v>
      </c>
      <c r="O806" s="58">
        <f>Q806-P806</f>
        <v>196605000</v>
      </c>
      <c r="P806" s="58"/>
      <c r="Q806" s="58">
        <v>196605000</v>
      </c>
      <c r="R806" s="58">
        <f>T806-S806</f>
        <v>488750000</v>
      </c>
      <c r="S806" s="58"/>
      <c r="T806" s="58">
        <v>488750000</v>
      </c>
      <c r="U806" s="58">
        <f>W806-V806</f>
        <v>66495000</v>
      </c>
      <c r="V806" s="58"/>
      <c r="W806" s="152">
        <v>66495000</v>
      </c>
      <c r="X806" s="58">
        <f>Z806-Y806</f>
        <v>376939000</v>
      </c>
      <c r="Y806" s="58"/>
      <c r="Z806" s="58">
        <v>376939000</v>
      </c>
      <c r="AA806" s="58">
        <f>AC806-AB806</f>
        <v>1585959000</v>
      </c>
      <c r="AB806" s="58"/>
      <c r="AC806" s="58">
        <v>1585959000</v>
      </c>
      <c r="AD806" s="122"/>
      <c r="AE806" s="122"/>
      <c r="AF806" s="122"/>
      <c r="AG806" s="122"/>
      <c r="AH806" s="122"/>
      <c r="AI806" s="122"/>
      <c r="AJ806" s="121">
        <f t="shared" si="624"/>
        <v>15957993</v>
      </c>
      <c r="AK806" s="66">
        <v>1541100</v>
      </c>
      <c r="AL806" s="54">
        <v>44853</v>
      </c>
      <c r="AM806" s="116">
        <v>1068</v>
      </c>
      <c r="AN806" s="42">
        <v>3353250</v>
      </c>
      <c r="AO806" s="125">
        <f t="shared" si="657"/>
        <v>2883600</v>
      </c>
      <c r="AP806" s="59"/>
      <c r="AQ806" s="102">
        <v>19033814000000</v>
      </c>
      <c r="AR806" s="102">
        <v>287574000000</v>
      </c>
      <c r="AS806" s="102">
        <v>175237883019</v>
      </c>
      <c r="AT806" s="104">
        <v>239790123019</v>
      </c>
      <c r="AU806" s="55">
        <f t="shared" si="543"/>
        <v>41165048</v>
      </c>
      <c r="AV806" s="99">
        <f t="shared" si="627"/>
        <v>19718295516.595997</v>
      </c>
    </row>
    <row r="807" spans="1:48" ht="15">
      <c r="A807" s="28">
        <v>44854</v>
      </c>
      <c r="B807" s="65">
        <v>43711010000</v>
      </c>
      <c r="C807" s="65">
        <v>42719170000</v>
      </c>
      <c r="D807" s="65"/>
      <c r="E807" s="65"/>
      <c r="F807" s="65">
        <f t="shared" si="658"/>
        <v>86430180000</v>
      </c>
      <c r="G807" s="65">
        <f t="shared" si="656"/>
        <v>23336149</v>
      </c>
      <c r="H807" s="58">
        <f t="shared" ref="H807" si="659">J807-I807</f>
        <v>143360000</v>
      </c>
      <c r="I807" s="58">
        <v>20556700000</v>
      </c>
      <c r="J807" s="58">
        <v>20700060000</v>
      </c>
      <c r="K807" s="58"/>
      <c r="L807" s="58">
        <f t="shared" ref="L807" si="660">N807-M807</f>
        <v>276480000</v>
      </c>
      <c r="M807" s="58">
        <v>38930000000</v>
      </c>
      <c r="N807" s="152">
        <v>39206480000</v>
      </c>
      <c r="O807" s="58">
        <f t="shared" ref="O807" si="661">Q807-P807</f>
        <v>2704060000</v>
      </c>
      <c r="P807" s="58"/>
      <c r="Q807" s="58">
        <v>2704060000</v>
      </c>
      <c r="R807" s="58">
        <f t="shared" ref="R807" si="662">T807-S807</f>
        <v>423963000</v>
      </c>
      <c r="S807" s="58"/>
      <c r="T807" s="58">
        <v>423963000</v>
      </c>
      <c r="U807" s="58">
        <f t="shared" ref="U807" si="663">W807-V807</f>
        <v>60871000</v>
      </c>
      <c r="V807" s="58"/>
      <c r="W807" s="152">
        <v>60871000</v>
      </c>
      <c r="X807" s="58">
        <f t="shared" ref="X807" si="664">Z807-Y807</f>
        <v>349810000</v>
      </c>
      <c r="Y807" s="122">
        <v>6197400000</v>
      </c>
      <c r="Z807" s="58">
        <v>6547210000</v>
      </c>
      <c r="AA807" s="58">
        <f t="shared" ref="AA807" si="665">AC807-AB807</f>
        <v>642060000</v>
      </c>
      <c r="AB807" s="122"/>
      <c r="AC807" s="58">
        <v>642060000</v>
      </c>
      <c r="AD807" s="122"/>
      <c r="AE807" s="122"/>
      <c r="AF807" s="122"/>
      <c r="AG807" s="122"/>
      <c r="AH807" s="122"/>
      <c r="AI807" s="122"/>
      <c r="AJ807" s="121">
        <f t="shared" si="624"/>
        <v>12320003</v>
      </c>
      <c r="AK807" s="66">
        <v>1679970</v>
      </c>
      <c r="AL807" s="54">
        <v>44854</v>
      </c>
      <c r="AM807" s="116">
        <v>502</v>
      </c>
      <c r="AN807" s="42">
        <v>3682200</v>
      </c>
      <c r="AO807" s="125">
        <f t="shared" si="657"/>
        <v>1355400</v>
      </c>
      <c r="AP807" s="59"/>
      <c r="AQ807" s="102">
        <v>18710152000000</v>
      </c>
      <c r="AR807" s="102">
        <v>233665000000</v>
      </c>
      <c r="AS807" s="102">
        <v>136714912213</v>
      </c>
      <c r="AT807" s="104">
        <v>223145092213</v>
      </c>
      <c r="AU807" s="55">
        <f t="shared" si="543"/>
        <v>42373722</v>
      </c>
      <c r="AV807" s="99">
        <f t="shared" si="627"/>
        <v>19760669238.595997</v>
      </c>
    </row>
    <row r="808" spans="1:48" ht="15">
      <c r="A808" s="28">
        <v>44855</v>
      </c>
      <c r="B808" s="65">
        <v>9954275000</v>
      </c>
      <c r="C808" s="65">
        <v>0</v>
      </c>
      <c r="D808" s="65"/>
      <c r="E808" s="65"/>
      <c r="F808" s="65">
        <f>SUM(B808:E808)</f>
        <v>9954275000</v>
      </c>
      <c r="G808" s="65">
        <f>ROUND(F808*0.027%,0)</f>
        <v>2687654</v>
      </c>
      <c r="H808" s="58">
        <f>J808-I808</f>
        <v>12524961000</v>
      </c>
      <c r="I808" s="58">
        <v>31843650000</v>
      </c>
      <c r="J808" s="58">
        <v>44368611000</v>
      </c>
      <c r="K808" s="58"/>
      <c r="L808" s="58">
        <f>N808-M808</f>
        <v>17754110000</v>
      </c>
      <c r="M808" s="58">
        <v>48835500000</v>
      </c>
      <c r="N808" s="152">
        <v>66589610000</v>
      </c>
      <c r="O808" s="58">
        <f>Q808-P808</f>
        <v>580081000</v>
      </c>
      <c r="P808" s="58"/>
      <c r="Q808" s="58">
        <v>580081000</v>
      </c>
      <c r="R808" s="58">
        <f>T808-S808</f>
        <v>768076000</v>
      </c>
      <c r="S808" s="58"/>
      <c r="T808" s="58">
        <v>768076000</v>
      </c>
      <c r="U808" s="58">
        <f>W808-V808</f>
        <v>208808000</v>
      </c>
      <c r="V808" s="58"/>
      <c r="W808" s="152">
        <v>208808000</v>
      </c>
      <c r="X808" s="58">
        <f>Z808-Y808</f>
        <v>365308000</v>
      </c>
      <c r="Y808" s="58">
        <v>20080000000</v>
      </c>
      <c r="Z808" s="58">
        <v>20445308000</v>
      </c>
      <c r="AA808" s="58">
        <f>AC808-AB808</f>
        <v>2866479000</v>
      </c>
      <c r="AB808" s="58"/>
      <c r="AC808" s="58">
        <v>2866479000</v>
      </c>
      <c r="AD808" s="122"/>
      <c r="AE808" s="122"/>
      <c r="AF808" s="122"/>
      <c r="AG808" s="122"/>
      <c r="AH808" s="122"/>
      <c r="AI808" s="122"/>
      <c r="AJ808" s="121">
        <f t="shared" si="624"/>
        <v>21923972</v>
      </c>
      <c r="AK808" s="66">
        <v>2828970</v>
      </c>
      <c r="AL808" s="54">
        <v>44855</v>
      </c>
      <c r="AM808" s="116">
        <v>1881</v>
      </c>
      <c r="AN808" s="42">
        <f>681*2550*3</f>
        <v>5209650</v>
      </c>
      <c r="AO808" s="125">
        <f t="shared" ref="AO808:AO817" si="666">AM808*2700</f>
        <v>5078700</v>
      </c>
      <c r="AP808" s="59"/>
      <c r="AQ808" s="102">
        <v>33282656000000</v>
      </c>
      <c r="AR808" s="102">
        <v>346489000000</v>
      </c>
      <c r="AS808" s="102">
        <v>239808793732</v>
      </c>
      <c r="AT808" s="104">
        <v>249763068732</v>
      </c>
      <c r="AU808" s="55">
        <f t="shared" si="543"/>
        <v>37728946</v>
      </c>
      <c r="AV808" s="99">
        <f t="shared" si="627"/>
        <v>19798398184.595997</v>
      </c>
    </row>
    <row r="809" spans="1:48" ht="15">
      <c r="A809" s="28">
        <v>44858</v>
      </c>
      <c r="B809" s="65">
        <v>23598205000</v>
      </c>
      <c r="C809" s="65">
        <v>8421195000</v>
      </c>
      <c r="D809" s="65"/>
      <c r="E809" s="65"/>
      <c r="F809" s="65">
        <f>SUM(B809:E809)</f>
        <v>32019400000</v>
      </c>
      <c r="G809" s="65">
        <f>ROUND(F809*0.027%,0)</f>
        <v>8645238</v>
      </c>
      <c r="H809" s="58">
        <f t="shared" ref="H809" si="667">J809-I809</f>
        <v>8290402000</v>
      </c>
      <c r="I809" s="58"/>
      <c r="J809" s="58">
        <v>8290402000</v>
      </c>
      <c r="K809" s="58"/>
      <c r="L809" s="58">
        <f t="shared" ref="L809" si="668">N809-M809</f>
        <v>11947318000</v>
      </c>
      <c r="M809" s="152"/>
      <c r="N809" s="152">
        <v>11947318000</v>
      </c>
      <c r="O809" s="58">
        <f t="shared" ref="O809" si="669">Q809-P809</f>
        <v>868490000</v>
      </c>
      <c r="P809" s="58"/>
      <c r="Q809" s="58">
        <v>868490000</v>
      </c>
      <c r="R809" s="58">
        <f t="shared" ref="R809" si="670">T809-S809</f>
        <v>1466424000</v>
      </c>
      <c r="S809" s="58"/>
      <c r="T809" s="58">
        <v>1466424000</v>
      </c>
      <c r="U809" s="58">
        <f t="shared" ref="U809" si="671">W809-V809</f>
        <v>116222000</v>
      </c>
      <c r="V809" s="58"/>
      <c r="W809" s="152">
        <v>116222000</v>
      </c>
      <c r="X809" s="58">
        <f t="shared" ref="X809" si="672">Z809-Y809</f>
        <v>437666000</v>
      </c>
      <c r="Y809" s="58"/>
      <c r="Z809" s="58">
        <v>437666000</v>
      </c>
      <c r="AA809" s="58">
        <f t="shared" ref="AA809" si="673">AC809-AB809</f>
        <v>2872563000</v>
      </c>
      <c r="AB809" s="58"/>
      <c r="AC809" s="58">
        <v>2872563000</v>
      </c>
      <c r="AD809" s="122"/>
      <c r="AE809" s="122"/>
      <c r="AF809" s="122"/>
      <c r="AG809" s="122"/>
      <c r="AH809" s="122"/>
      <c r="AI809" s="122"/>
      <c r="AJ809" s="121">
        <f t="shared" si="624"/>
        <v>2807901</v>
      </c>
      <c r="AK809" s="66">
        <v>1603530</v>
      </c>
      <c r="AL809" s="54">
        <v>44858</v>
      </c>
      <c r="AM809" s="116">
        <v>430</v>
      </c>
      <c r="AN809" s="42">
        <f>647*2550</f>
        <v>1649850</v>
      </c>
      <c r="AO809" s="125">
        <f t="shared" si="666"/>
        <v>1161000</v>
      </c>
      <c r="AP809" s="59"/>
      <c r="AQ809" s="102">
        <v>27411502000000</v>
      </c>
      <c r="AR809" s="102">
        <v>87824000000</v>
      </c>
      <c r="AS809" s="102">
        <v>28346329580</v>
      </c>
      <c r="AT809" s="104">
        <v>60365729580</v>
      </c>
      <c r="AU809" s="55">
        <f t="shared" si="543"/>
        <v>15867519</v>
      </c>
      <c r="AV809" s="99">
        <f t="shared" si="627"/>
        <v>19814265703.595997</v>
      </c>
    </row>
    <row r="810" spans="1:48" ht="15">
      <c r="A810" s="28">
        <v>44859</v>
      </c>
      <c r="B810" s="65">
        <v>48352487000</v>
      </c>
      <c r="C810" s="65">
        <v>76179930000</v>
      </c>
      <c r="D810" s="65"/>
      <c r="E810" s="65"/>
      <c r="F810" s="65">
        <f>SUM(B810:E810)</f>
        <v>124532417000</v>
      </c>
      <c r="G810" s="65">
        <f t="shared" ref="G810:G812" si="674">ROUND(F810*0.027%,0)</f>
        <v>33623753</v>
      </c>
      <c r="H810" s="58">
        <f>J810-I810</f>
        <v>5058000000</v>
      </c>
      <c r="I810" s="58">
        <v>29230000000</v>
      </c>
      <c r="J810" s="58">
        <v>34288000000</v>
      </c>
      <c r="K810" s="58"/>
      <c r="L810" s="58">
        <f>N810-M810</f>
        <v>11565524000</v>
      </c>
      <c r="M810" s="152">
        <v>146211400000</v>
      </c>
      <c r="N810" s="152">
        <v>157776924000</v>
      </c>
      <c r="O810" s="58">
        <f>Q810-P810</f>
        <v>2302513000</v>
      </c>
      <c r="P810" s="58"/>
      <c r="Q810" s="58">
        <v>2302513000</v>
      </c>
      <c r="R810" s="58">
        <f>T810-S810</f>
        <v>1029604000</v>
      </c>
      <c r="S810" s="58"/>
      <c r="T810" s="58">
        <v>1029604000</v>
      </c>
      <c r="U810" s="58">
        <f>W810-V810</f>
        <v>153921000</v>
      </c>
      <c r="V810" s="58"/>
      <c r="W810" s="152">
        <v>153921000</v>
      </c>
      <c r="X810" s="58">
        <f>Z810-Y810</f>
        <v>369084000</v>
      </c>
      <c r="Y810" s="58"/>
      <c r="Z810" s="58">
        <v>369084000</v>
      </c>
      <c r="AA810" s="58">
        <f>AC810-AB810</f>
        <v>2588893000</v>
      </c>
      <c r="AB810" s="58"/>
      <c r="AC810" s="58">
        <v>2588893000</v>
      </c>
      <c r="AD810" s="122"/>
      <c r="AE810" s="122"/>
      <c r="AF810" s="122"/>
      <c r="AG810" s="122"/>
      <c r="AH810" s="122"/>
      <c r="AI810" s="122"/>
      <c r="AJ810" s="121">
        <f t="shared" si="624"/>
        <v>34070746</v>
      </c>
      <c r="AK810" s="66">
        <v>2548290</v>
      </c>
      <c r="AL810" s="54">
        <v>44859</v>
      </c>
      <c r="AM810" s="116">
        <v>1239</v>
      </c>
      <c r="AN810" s="42">
        <f>1548*2550</f>
        <v>3947400</v>
      </c>
      <c r="AO810" s="125">
        <f t="shared" si="666"/>
        <v>3345300</v>
      </c>
      <c r="AP810" s="59"/>
      <c r="AQ810" s="102">
        <v>28196292000000</v>
      </c>
      <c r="AR810" s="102">
        <v>513790000000</v>
      </c>
      <c r="AS810" s="102">
        <v>377017313025</v>
      </c>
      <c r="AT810" s="104">
        <v>501549730025</v>
      </c>
      <c r="AU810" s="55">
        <f t="shared" si="543"/>
        <v>77535489</v>
      </c>
      <c r="AV810" s="99">
        <f t="shared" si="627"/>
        <v>19891801192.595997</v>
      </c>
    </row>
    <row r="811" spans="1:48" ht="15">
      <c r="A811" s="28">
        <v>44860</v>
      </c>
      <c r="B811" s="65">
        <v>49909020000</v>
      </c>
      <c r="C811" s="65">
        <v>38829250000</v>
      </c>
      <c r="D811" s="65"/>
      <c r="E811" s="65">
        <v>9842056250</v>
      </c>
      <c r="F811" s="65">
        <f t="shared" ref="F811:F812" si="675">SUM(B811:E811)</f>
        <v>98580326250</v>
      </c>
      <c r="G811" s="65">
        <f t="shared" si="674"/>
        <v>26616688</v>
      </c>
      <c r="H811" s="58">
        <f>J811-I811</f>
        <v>119946000</v>
      </c>
      <c r="I811" s="58">
        <v>23226500000</v>
      </c>
      <c r="J811" s="58">
        <v>23346446000</v>
      </c>
      <c r="K811" s="58"/>
      <c r="L811" s="58">
        <f>N811-M811</f>
        <v>1568700000</v>
      </c>
      <c r="M811" s="152">
        <v>15066000000</v>
      </c>
      <c r="N811" s="152">
        <v>16634700000</v>
      </c>
      <c r="O811" s="58">
        <f>Q811-P811</f>
        <v>723841000</v>
      </c>
      <c r="P811" s="58"/>
      <c r="Q811" s="58">
        <v>723841000</v>
      </c>
      <c r="R811" s="58">
        <f>T811-S811</f>
        <v>681337000</v>
      </c>
      <c r="S811" s="58"/>
      <c r="T811" s="58">
        <v>681337000</v>
      </c>
      <c r="U811" s="58">
        <f>W811-V811</f>
        <v>132686000</v>
      </c>
      <c r="V811" s="58"/>
      <c r="W811" s="152">
        <v>132686000</v>
      </c>
      <c r="X811" s="58">
        <f>Z811-Y811</f>
        <v>320630000</v>
      </c>
      <c r="Y811" s="58">
        <v>2590000000</v>
      </c>
      <c r="Z811" s="58">
        <v>2910630000</v>
      </c>
      <c r="AA811" s="58">
        <f>AC811-AB811</f>
        <v>1779164000</v>
      </c>
      <c r="AB811" s="58"/>
      <c r="AC811" s="58">
        <v>1779164000</v>
      </c>
      <c r="AD811" s="122"/>
      <c r="AE811" s="122"/>
      <c r="AF811" s="122"/>
      <c r="AG811" s="122"/>
      <c r="AH811" s="122"/>
      <c r="AI811" s="122"/>
      <c r="AJ811" s="121">
        <f t="shared" si="624"/>
        <v>7934091</v>
      </c>
      <c r="AK811" s="66">
        <v>1341840</v>
      </c>
      <c r="AL811" s="54">
        <v>44860</v>
      </c>
      <c r="AM811" s="116">
        <v>770</v>
      </c>
      <c r="AN811" s="42">
        <f>1436*2550</f>
        <v>3661800</v>
      </c>
      <c r="AO811" s="125">
        <f t="shared" si="666"/>
        <v>2079000</v>
      </c>
      <c r="AP811" s="59"/>
      <c r="AQ811" s="102">
        <v>17858502000000</v>
      </c>
      <c r="AR811" s="102">
        <v>140562000000</v>
      </c>
      <c r="AS811" s="102">
        <v>89367608979</v>
      </c>
      <c r="AT811" s="104">
        <v>187947935229</v>
      </c>
      <c r="AU811" s="55">
        <f t="shared" si="543"/>
        <v>41633419</v>
      </c>
      <c r="AV811" s="99">
        <f t="shared" si="627"/>
        <v>19933434611.595997</v>
      </c>
    </row>
    <row r="812" spans="1:48" ht="15">
      <c r="A812" s="28">
        <v>44861</v>
      </c>
      <c r="B812" s="65">
        <v>36398940000</v>
      </c>
      <c r="C812" s="65">
        <v>20253750000</v>
      </c>
      <c r="D812" s="65"/>
      <c r="E812" s="65"/>
      <c r="F812" s="65">
        <f t="shared" si="675"/>
        <v>56652690000</v>
      </c>
      <c r="G812" s="65">
        <f t="shared" si="674"/>
        <v>15296226</v>
      </c>
      <c r="H812" s="58">
        <f t="shared" ref="H812" si="676">J812-I812</f>
        <v>114220000</v>
      </c>
      <c r="I812" s="58">
        <v>11656200000</v>
      </c>
      <c r="J812" s="58">
        <v>11770420000</v>
      </c>
      <c r="K812" s="58"/>
      <c r="L812" s="58">
        <f t="shared" ref="L812" si="677">N812-M812</f>
        <v>10595046000</v>
      </c>
      <c r="M812" s="58">
        <v>28143000000</v>
      </c>
      <c r="N812" s="152">
        <v>38738046000</v>
      </c>
      <c r="O812" s="58">
        <f t="shared" ref="O812" si="678">Q812-P812</f>
        <v>2545118000</v>
      </c>
      <c r="P812" s="58"/>
      <c r="Q812" s="58">
        <v>2545118000</v>
      </c>
      <c r="R812" s="58">
        <f t="shared" ref="R812" si="679">T812-S812</f>
        <v>669953000</v>
      </c>
      <c r="S812" s="58"/>
      <c r="T812" s="58">
        <v>669953000</v>
      </c>
      <c r="U812" s="58">
        <f t="shared" ref="U812" si="680">W812-V812</f>
        <v>218595000</v>
      </c>
      <c r="V812" s="58"/>
      <c r="W812" s="152">
        <v>218595000</v>
      </c>
      <c r="X812" s="58">
        <f t="shared" ref="X812" si="681">Z812-Y812</f>
        <v>335550000</v>
      </c>
      <c r="Y812" s="122"/>
      <c r="Z812" s="58">
        <v>335550000</v>
      </c>
      <c r="AA812" s="58">
        <f t="shared" ref="AA812" si="682">AC812-AB812</f>
        <v>1875779000</v>
      </c>
      <c r="AB812" s="122"/>
      <c r="AC812" s="58">
        <v>1875779000</v>
      </c>
      <c r="AD812" s="122"/>
      <c r="AE812" s="122"/>
      <c r="AF812" s="122"/>
      <c r="AG812" s="122"/>
      <c r="AH812" s="122"/>
      <c r="AI812" s="122"/>
      <c r="AJ812" s="121">
        <f t="shared" si="624"/>
        <v>8930116</v>
      </c>
      <c r="AK812" s="66">
        <v>1424610</v>
      </c>
      <c r="AL812" s="54">
        <v>44861</v>
      </c>
      <c r="AM812" s="116">
        <v>725</v>
      </c>
      <c r="AN812" s="42">
        <f>1981*2550</f>
        <v>5051550</v>
      </c>
      <c r="AO812" s="125">
        <f t="shared" si="666"/>
        <v>1957500</v>
      </c>
      <c r="AP812" s="59"/>
      <c r="AQ812" s="102">
        <v>24637926000000</v>
      </c>
      <c r="AR812" s="102">
        <v>166431000000</v>
      </c>
      <c r="AS812" s="102">
        <v>98281874058</v>
      </c>
      <c r="AT812" s="104">
        <v>154934564058</v>
      </c>
      <c r="AU812" s="55">
        <f t="shared" si="543"/>
        <v>32660002</v>
      </c>
      <c r="AV812" s="99">
        <f t="shared" si="627"/>
        <v>19966094613.595997</v>
      </c>
    </row>
    <row r="813" spans="1:48" ht="15">
      <c r="A813" s="28">
        <v>44862</v>
      </c>
      <c r="B813" s="65">
        <v>78283753900</v>
      </c>
      <c r="C813" s="65">
        <v>35671005000</v>
      </c>
      <c r="D813" s="65"/>
      <c r="E813" s="65"/>
      <c r="F813" s="65">
        <f>SUM(B813:E813)</f>
        <v>113954758900</v>
      </c>
      <c r="G813" s="65">
        <f>ROUND(F813*0.027%,0)</f>
        <v>30767785</v>
      </c>
      <c r="H813" s="58">
        <f>J813-I813</f>
        <v>0</v>
      </c>
      <c r="I813" s="58">
        <f>3505000000+1743000000</f>
        <v>5248000000</v>
      </c>
      <c r="J813" s="58">
        <f>3505000000+1743000000</f>
        <v>5248000000</v>
      </c>
      <c r="K813" s="58"/>
      <c r="L813" s="58">
        <f>N813-M813</f>
        <v>3688911000</v>
      </c>
      <c r="M813" s="58">
        <v>24746000000</v>
      </c>
      <c r="N813" s="152">
        <f>26672892000+1762019000</f>
        <v>28434911000</v>
      </c>
      <c r="O813" s="58">
        <f>Q813-P813</f>
        <v>145432000</v>
      </c>
      <c r="P813" s="58"/>
      <c r="Q813" s="58">
        <f>59311000+86121000</f>
        <v>145432000</v>
      </c>
      <c r="R813" s="58">
        <f>T813-S813</f>
        <v>571975000</v>
      </c>
      <c r="S813" s="58"/>
      <c r="T813" s="58">
        <f>328297000+243678000</f>
        <v>571975000</v>
      </c>
      <c r="U813" s="58">
        <f>W813-V813</f>
        <v>87989000</v>
      </c>
      <c r="V813" s="58"/>
      <c r="W813" s="152">
        <f>8989000+79000000</f>
        <v>87989000</v>
      </c>
      <c r="X813" s="58">
        <f>Z813-Y813</f>
        <v>384825000</v>
      </c>
      <c r="Y813" s="58"/>
      <c r="Z813" s="58">
        <f>185801000+199024000</f>
        <v>384825000</v>
      </c>
      <c r="AA813" s="58">
        <f>AC813-AB813</f>
        <v>1716279000</v>
      </c>
      <c r="AB813" s="58"/>
      <c r="AC813" s="58">
        <f>1695654000+20625000</f>
        <v>1716279000</v>
      </c>
      <c r="AD813" s="122"/>
      <c r="AE813" s="122"/>
      <c r="AF813" s="122"/>
      <c r="AG813" s="122"/>
      <c r="AH813" s="122"/>
      <c r="AI813" s="122"/>
      <c r="AJ813" s="121">
        <f t="shared" si="624"/>
        <v>6111224</v>
      </c>
      <c r="AK813" s="66">
        <v>3089400</v>
      </c>
      <c r="AL813" s="54">
        <v>44862</v>
      </c>
      <c r="AM813" s="116">
        <v>942</v>
      </c>
      <c r="AN813" s="42">
        <f>1692*2550*3</f>
        <v>12943800</v>
      </c>
      <c r="AO813" s="125">
        <f t="shared" si="666"/>
        <v>2543400</v>
      </c>
      <c r="AP813" s="59"/>
      <c r="AQ813" s="102">
        <v>29081960000000</v>
      </c>
      <c r="AR813" s="102">
        <v>136958000000</v>
      </c>
      <c r="AS813" s="102">
        <v>69100590475</v>
      </c>
      <c r="AT813" s="104">
        <v>183055349375</v>
      </c>
      <c r="AU813" s="55">
        <f t="shared" si="543"/>
        <v>55455609</v>
      </c>
      <c r="AV813" s="99">
        <f t="shared" ref="AV813:AV817" si="683">AV812+AU813</f>
        <v>20021550222.595997</v>
      </c>
    </row>
    <row r="814" spans="1:48" ht="15">
      <c r="A814" s="28">
        <v>44865</v>
      </c>
      <c r="B814" s="65">
        <v>34401837000</v>
      </c>
      <c r="C814" s="65">
        <v>7321315000</v>
      </c>
      <c r="D814" s="65"/>
      <c r="E814" s="65"/>
      <c r="F814" s="65">
        <f>SUM(B814:E814)</f>
        <v>41723152000</v>
      </c>
      <c r="G814" s="65">
        <f>ROUND(F814*0.027%,0)</f>
        <v>11265251</v>
      </c>
      <c r="H814" s="58">
        <f t="shared" ref="H814" si="684">J814-I814</f>
        <v>1702789000</v>
      </c>
      <c r="I814" s="58">
        <f>10280400000+1743400000</f>
        <v>12023800000</v>
      </c>
      <c r="J814" s="58">
        <f>11912869000+1813720000</f>
        <v>13726589000</v>
      </c>
      <c r="K814" s="58"/>
      <c r="L814" s="58">
        <f t="shared" ref="L814" si="685">N814-M814</f>
        <v>5759685000</v>
      </c>
      <c r="M814" s="152">
        <v>30833500000</v>
      </c>
      <c r="N814" s="152">
        <f>31373264000+5219921000</f>
        <v>36593185000</v>
      </c>
      <c r="O814" s="58">
        <f t="shared" ref="O814" si="686">Q814-P814</f>
        <v>1129317000</v>
      </c>
      <c r="P814" s="58"/>
      <c r="Q814" s="58">
        <f>1008005000+121312000</f>
        <v>1129317000</v>
      </c>
      <c r="R814" s="58">
        <f t="shared" ref="R814" si="687">T814-S814</f>
        <v>722684000</v>
      </c>
      <c r="S814" s="58"/>
      <c r="T814" s="58">
        <f>429053000+293631000</f>
        <v>722684000</v>
      </c>
      <c r="U814" s="58">
        <f t="shared" ref="U814" si="688">W814-V814</f>
        <v>124491000</v>
      </c>
      <c r="V814" s="58"/>
      <c r="W814" s="152">
        <f>43710000+80781000</f>
        <v>124491000</v>
      </c>
      <c r="X814" s="58">
        <f t="shared" ref="X814" si="689">Z814-Y814</f>
        <v>368410000</v>
      </c>
      <c r="Y814" s="58"/>
      <c r="Z814" s="58">
        <f>183780000+184630000</f>
        <v>368410000</v>
      </c>
      <c r="AA814" s="58">
        <f t="shared" ref="AA814" si="690">AC814-AB814</f>
        <v>1742227000</v>
      </c>
      <c r="AB814" s="58"/>
      <c r="AC814" s="58">
        <f>977376000+764851000</f>
        <v>1742227000</v>
      </c>
      <c r="AD814" s="122"/>
      <c r="AE814" s="122"/>
      <c r="AF814" s="122"/>
      <c r="AG814" s="122"/>
      <c r="AH814" s="122"/>
      <c r="AI814" s="122"/>
      <c r="AJ814" s="121">
        <v>8961672</v>
      </c>
      <c r="AK814" s="66">
        <v>2486000</v>
      </c>
      <c r="AL814" s="54">
        <v>44865</v>
      </c>
      <c r="AM814" s="116">
        <v>7083</v>
      </c>
      <c r="AN814" s="42">
        <f>1586*2550</f>
        <v>4044300</v>
      </c>
      <c r="AO814" s="125">
        <f t="shared" si="666"/>
        <v>19124100</v>
      </c>
      <c r="AP814" s="59"/>
      <c r="AQ814" s="102">
        <v>25050740000000</v>
      </c>
      <c r="AR814" s="102">
        <v>664172000000</v>
      </c>
      <c r="AS814" s="102">
        <v>98827831043</v>
      </c>
      <c r="AT814" s="104">
        <v>140550983043</v>
      </c>
      <c r="AU814" s="55">
        <f t="shared" si="543"/>
        <v>45881323</v>
      </c>
      <c r="AV814" s="99">
        <f t="shared" si="683"/>
        <v>20067431545.595997</v>
      </c>
    </row>
    <row r="815" spans="1:48" ht="15">
      <c r="A815" s="28">
        <v>44866</v>
      </c>
      <c r="B815" s="65">
        <v>101746005900</v>
      </c>
      <c r="C815" s="65"/>
      <c r="D815" s="65"/>
      <c r="E815" s="65"/>
      <c r="F815" s="65">
        <f>SUM(B815:E815)</f>
        <v>101746005900</v>
      </c>
      <c r="G815" s="65">
        <f t="shared" ref="G815:G817" si="691">ROUND(F815*0.027%,0)</f>
        <v>27471422</v>
      </c>
      <c r="H815" s="58">
        <f>J815-I815</f>
        <v>4089744000</v>
      </c>
      <c r="I815" s="58">
        <v>14087300000</v>
      </c>
      <c r="J815" s="58">
        <v>18177044000</v>
      </c>
      <c r="K815" s="58"/>
      <c r="L815" s="58">
        <f>N815-M815</f>
        <v>3236157000</v>
      </c>
      <c r="M815" s="152">
        <v>22340000000</v>
      </c>
      <c r="N815" s="152">
        <v>25576157000</v>
      </c>
      <c r="O815" s="58">
        <f>Q815-P815</f>
        <v>795403000</v>
      </c>
      <c r="P815" s="58"/>
      <c r="Q815" s="58">
        <v>795403000</v>
      </c>
      <c r="R815" s="58">
        <f>T815-S815</f>
        <v>1329048000</v>
      </c>
      <c r="S815" s="58"/>
      <c r="T815" s="58">
        <v>1329048000</v>
      </c>
      <c r="U815" s="58">
        <f>W815-V815</f>
        <v>322454000</v>
      </c>
      <c r="V815" s="58"/>
      <c r="W815" s="152">
        <v>322454000</v>
      </c>
      <c r="X815" s="58">
        <f>Z815-Y815</f>
        <v>461753000</v>
      </c>
      <c r="Y815" s="58"/>
      <c r="Z815" s="58">
        <v>461753000</v>
      </c>
      <c r="AA815" s="58">
        <f>AC815-AB815</f>
        <v>838012000</v>
      </c>
      <c r="AB815" s="58"/>
      <c r="AC815" s="58">
        <v>838012000</v>
      </c>
      <c r="AD815" s="122"/>
      <c r="AE815" s="122"/>
      <c r="AF815" s="122"/>
      <c r="AG815" s="122"/>
      <c r="AH815" s="122"/>
      <c r="AI815" s="122"/>
      <c r="AJ815" s="121">
        <f>ROUND(H815*0.0108%+I815*0.018%+K815*0.018%+L815*0.0108%+M815*0.018%+O815*0.0108%+P815*0.018%+R815*0.0108%+S815*0.018%+V815*0.018%+U815*0.0108%+X815*0.0108%+Y815*0.018%+AA815*0.0108%+AB815*0.018%,0)</f>
        <v>7752752</v>
      </c>
      <c r="AK815" s="66">
        <v>1138440</v>
      </c>
      <c r="AL815" s="54">
        <v>44866</v>
      </c>
      <c r="AM815" s="116">
        <v>7030</v>
      </c>
      <c r="AN815" s="42">
        <f>1713*2550</f>
        <v>4368150</v>
      </c>
      <c r="AO815" s="125">
        <f t="shared" si="666"/>
        <v>18981000</v>
      </c>
      <c r="AP815" s="59"/>
      <c r="AQ815" s="102">
        <v>23635218000000</v>
      </c>
      <c r="AR815" s="102">
        <v>112859600000</v>
      </c>
      <c r="AS815" s="102">
        <v>85372538388</v>
      </c>
      <c r="AT815" s="104">
        <v>187118544288</v>
      </c>
      <c r="AU815" s="55">
        <f t="shared" ref="AU815:AU875" si="692">G815+AJ815+AK815+AN815+AO815+AP815</f>
        <v>59711764</v>
      </c>
      <c r="AV815" s="99">
        <f t="shared" si="683"/>
        <v>20127143309.595997</v>
      </c>
    </row>
    <row r="816" spans="1:48" ht="15">
      <c r="A816" s="28">
        <v>44867</v>
      </c>
      <c r="B816" s="65">
        <v>54333845000</v>
      </c>
      <c r="C816" s="65">
        <v>42861990000</v>
      </c>
      <c r="D816" s="65"/>
      <c r="E816" s="65"/>
      <c r="F816" s="65">
        <f t="shared" ref="F816:F817" si="693">SUM(B816:E816)</f>
        <v>97195835000</v>
      </c>
      <c r="G816" s="65">
        <f t="shared" si="691"/>
        <v>26242875</v>
      </c>
      <c r="H816" s="58">
        <f>J816-I816</f>
        <v>45214000</v>
      </c>
      <c r="I816" s="58">
        <v>15714500000</v>
      </c>
      <c r="J816" s="58">
        <v>15759714000</v>
      </c>
      <c r="K816" s="58"/>
      <c r="L816" s="58">
        <f>N816-M816</f>
        <v>494485000</v>
      </c>
      <c r="M816" s="152">
        <v>25645250000</v>
      </c>
      <c r="N816" s="152">
        <v>26139735000</v>
      </c>
      <c r="O816" s="58">
        <f>Q816-P816</f>
        <v>967431000</v>
      </c>
      <c r="P816" s="58"/>
      <c r="Q816" s="58">
        <v>967431000</v>
      </c>
      <c r="R816" s="58">
        <f>T816-S816</f>
        <v>700726000</v>
      </c>
      <c r="S816" s="58"/>
      <c r="T816" s="58">
        <v>700726000</v>
      </c>
      <c r="U816" s="58">
        <f>W816-V816</f>
        <v>148461000</v>
      </c>
      <c r="V816" s="58"/>
      <c r="W816" s="152">
        <v>148461000</v>
      </c>
      <c r="X816" s="58">
        <f>Z816-Y816</f>
        <v>384955000</v>
      </c>
      <c r="Y816" s="58"/>
      <c r="Z816" s="58">
        <v>384955000</v>
      </c>
      <c r="AA816" s="58">
        <f>AC816-AB816</f>
        <v>845128000</v>
      </c>
      <c r="AB816" s="58"/>
      <c r="AC816" s="58">
        <v>845128000</v>
      </c>
      <c r="AD816" s="122"/>
      <c r="AE816" s="122"/>
      <c r="AF816" s="122"/>
      <c r="AG816" s="122"/>
      <c r="AH816" s="122"/>
      <c r="AI816" s="122"/>
      <c r="AJ816" s="121">
        <f>ROUND(H816*0.0108%+I816*0.018%+K816*0.018%+L816*0.0108%+M816*0.018%+O816*0.0108%+P816*0.018%+R816*0.0108%+S816*0.018%+V816*0.018%+U816*0.0108%+X816*0.0108%+Y816*0.018%+AA816*0.0108%+AB816*0.018%,0)</f>
        <v>7832086</v>
      </c>
      <c r="AK816" s="66">
        <v>1301100</v>
      </c>
      <c r="AL816" s="54">
        <v>44867</v>
      </c>
      <c r="AM816" s="116">
        <v>939</v>
      </c>
      <c r="AN816" s="42">
        <f>1713*2550</f>
        <v>4368150</v>
      </c>
      <c r="AO816" s="125">
        <f t="shared" si="666"/>
        <v>2535300</v>
      </c>
      <c r="AP816" s="59"/>
      <c r="AQ816" s="102">
        <v>22283894000000</v>
      </c>
      <c r="AR816" s="102">
        <v>304397732000</v>
      </c>
      <c r="AS816" s="102">
        <v>88022556771</v>
      </c>
      <c r="AT816" s="104">
        <v>185218391771</v>
      </c>
      <c r="AU816" s="55">
        <f t="shared" si="692"/>
        <v>42279511</v>
      </c>
      <c r="AV816" s="99">
        <f t="shared" si="683"/>
        <v>20169422820.595997</v>
      </c>
    </row>
    <row r="817" spans="1:48" ht="15">
      <c r="A817" s="28">
        <v>44868</v>
      </c>
      <c r="B817" s="65">
        <v>27843115000</v>
      </c>
      <c r="C817" s="65">
        <v>101847610000</v>
      </c>
      <c r="D817" s="65"/>
      <c r="E817" s="65"/>
      <c r="F817" s="65">
        <f t="shared" si="693"/>
        <v>129690725000</v>
      </c>
      <c r="G817" s="65">
        <f t="shared" si="691"/>
        <v>35016496</v>
      </c>
      <c r="H817" s="58">
        <f>J817-I817</f>
        <v>1465006000</v>
      </c>
      <c r="I817" s="58">
        <v>8686700000</v>
      </c>
      <c r="J817" s="58">
        <v>10151706000</v>
      </c>
      <c r="K817" s="58"/>
      <c r="L817" s="58">
        <f t="shared" ref="L817" si="694">N817-M817</f>
        <v>2433646000</v>
      </c>
      <c r="M817" s="58">
        <v>42017500000</v>
      </c>
      <c r="N817" s="152">
        <v>44451146000</v>
      </c>
      <c r="O817" s="58">
        <f t="shared" ref="O817" si="695">Q817-P817</f>
        <v>2379850000</v>
      </c>
      <c r="P817" s="58"/>
      <c r="Q817" s="58">
        <v>2379850000</v>
      </c>
      <c r="R817" s="58">
        <f t="shared" ref="R817" si="696">T817-S817</f>
        <v>603801000</v>
      </c>
      <c r="S817" s="58"/>
      <c r="T817" s="58">
        <v>603801000</v>
      </c>
      <c r="U817" s="58">
        <f t="shared" ref="U817" si="697">W817-V817</f>
        <v>83220000</v>
      </c>
      <c r="V817" s="58"/>
      <c r="W817" s="152">
        <v>83220000</v>
      </c>
      <c r="X817" s="58">
        <f t="shared" ref="X817" si="698">Z817-Y817</f>
        <v>362017000</v>
      </c>
      <c r="Y817" s="122"/>
      <c r="Z817" s="58">
        <v>362017000</v>
      </c>
      <c r="AA817" s="58">
        <f t="shared" ref="AA817" si="699">AC817-AB817</f>
        <v>826581000</v>
      </c>
      <c r="AB817" s="122"/>
      <c r="AC817" s="58">
        <v>826581000</v>
      </c>
      <c r="AD817" s="122"/>
      <c r="AE817" s="122"/>
      <c r="AF817" s="122"/>
      <c r="AG817" s="122"/>
      <c r="AH817" s="122"/>
      <c r="AI817" s="122"/>
      <c r="AJ817" s="121">
        <f>ROUND(H817*0.0108%+I817*0.018%+K817*0.018%+L817*0.0108%+M817*0.018%+O817*0.0108%+P817*0.018%+R817*0.0108%+S817*0.018%+V817*0.018%+U817*0.0108%+X817*0.0108%+Y817*0.018%+AA817*0.0108%+AB817*0.018%,0)</f>
        <v>10007401</v>
      </c>
      <c r="AK817" s="66">
        <v>963990</v>
      </c>
      <c r="AL817" s="54">
        <v>44868</v>
      </c>
      <c r="AM817" s="116">
        <v>986</v>
      </c>
      <c r="AN817" s="42"/>
      <c r="AO817" s="125">
        <f t="shared" si="666"/>
        <v>2662200</v>
      </c>
      <c r="AP817" s="59"/>
      <c r="AQ817" s="102">
        <v>17465482000000</v>
      </c>
      <c r="AR817" s="102">
        <v>129383000000</v>
      </c>
      <c r="AS817" s="102">
        <v>111703231850</v>
      </c>
      <c r="AT817" s="104">
        <v>241393956850</v>
      </c>
      <c r="AU817" s="55">
        <f t="shared" si="692"/>
        <v>48650087</v>
      </c>
      <c r="AV817" s="99">
        <f t="shared" si="683"/>
        <v>20218072907.595997</v>
      </c>
    </row>
    <row r="818" spans="1:48" ht="15">
      <c r="A818" s="28">
        <v>44869</v>
      </c>
      <c r="B818" s="65">
        <v>121683713000</v>
      </c>
      <c r="C818" s="65"/>
      <c r="D818" s="65"/>
      <c r="E818" s="65"/>
      <c r="F818" s="65">
        <f>SUM(B818:E818)</f>
        <v>121683713000</v>
      </c>
      <c r="G818" s="65">
        <f>ROUND(F818*0.027%,0)</f>
        <v>32854603</v>
      </c>
      <c r="H818" s="58">
        <f>J818-I818</f>
        <v>6766126000</v>
      </c>
      <c r="I818" s="58">
        <v>102202500000</v>
      </c>
      <c r="J818" s="58">
        <v>108968626000</v>
      </c>
      <c r="K818" s="58"/>
      <c r="L818" s="58">
        <f>N818-M818</f>
        <v>16053157000</v>
      </c>
      <c r="M818" s="58">
        <v>78946500000</v>
      </c>
      <c r="N818" s="152">
        <v>94999657000</v>
      </c>
      <c r="O818" s="58">
        <f>Q818-P818</f>
        <v>1355189000</v>
      </c>
      <c r="P818" s="58"/>
      <c r="Q818" s="58">
        <v>1355189000</v>
      </c>
      <c r="R818" s="58">
        <f>T818-S818</f>
        <v>1843167000</v>
      </c>
      <c r="S818" s="58"/>
      <c r="T818" s="58">
        <v>1843167000</v>
      </c>
      <c r="U818" s="58">
        <f>W818-V818</f>
        <v>108855000</v>
      </c>
      <c r="V818" s="58"/>
      <c r="W818" s="152">
        <v>108855000</v>
      </c>
      <c r="X818" s="58">
        <f>Z818-Y818</f>
        <v>410796000</v>
      </c>
      <c r="Y818" s="58"/>
      <c r="Z818" s="58">
        <v>410796000</v>
      </c>
      <c r="AA818" s="58">
        <f>AC818-AB818</f>
        <v>934477000</v>
      </c>
      <c r="AB818" s="58"/>
      <c r="AC818" s="58">
        <v>934477000</v>
      </c>
      <c r="AD818" s="58"/>
      <c r="AE818" s="58"/>
      <c r="AF818" s="58"/>
      <c r="AG818" s="122"/>
      <c r="AH818" s="122"/>
      <c r="AI818" s="122"/>
      <c r="AJ818" s="121">
        <f>ROUND(H818*0.0108%+I818*0.018%+K818*0.018%+L818*0.0108%+M818*0.018%+O818*0.0108%+P818*0.018%+R818*0.0108%+S818*0.018%+V818*0.018%+U818*0.0108%+X818*0.0108%+Y818*0.018%+AA818*0.0108%+AB818*0.018%,0)</f>
        <v>35573771</v>
      </c>
      <c r="AK818" s="66">
        <v>5865510</v>
      </c>
      <c r="AL818" s="54">
        <v>44869</v>
      </c>
      <c r="AM818" s="116">
        <v>2194</v>
      </c>
      <c r="AN818" s="42">
        <f>957*2550*3</f>
        <v>7321050</v>
      </c>
      <c r="AO818" s="125">
        <f t="shared" ref="AO818:AO837" si="700">AM818*2700</f>
        <v>5923800</v>
      </c>
      <c r="AP818" s="59"/>
      <c r="AQ818" s="102">
        <v>28619040000000</v>
      </c>
      <c r="AR818" s="102">
        <v>471994900000</v>
      </c>
      <c r="AS818" s="102">
        <v>391277239353</v>
      </c>
      <c r="AT818" s="104">
        <v>512960952353</v>
      </c>
      <c r="AU818" s="55">
        <f t="shared" si="692"/>
        <v>87538734</v>
      </c>
      <c r="AV818" s="99">
        <f t="shared" ref="AV818:AV837" si="701">AV817+AU818</f>
        <v>20305611641.595997</v>
      </c>
    </row>
    <row r="819" spans="1:48" ht="15">
      <c r="A819" s="28">
        <v>44872</v>
      </c>
      <c r="B819" s="65">
        <v>88104650000</v>
      </c>
      <c r="C819" s="65">
        <v>72805550000</v>
      </c>
      <c r="D819" s="65"/>
      <c r="E819" s="65"/>
      <c r="F819" s="65">
        <f>SUM(B819:E819)</f>
        <v>160910200000</v>
      </c>
      <c r="G819" s="65">
        <f>ROUND(F819*0.027%,0)</f>
        <v>43445754</v>
      </c>
      <c r="H819" s="58">
        <f t="shared" ref="H819" si="702">J819-I819</f>
        <v>104446000</v>
      </c>
      <c r="I819" s="58">
        <v>78215500000</v>
      </c>
      <c r="J819" s="58">
        <v>78319946000</v>
      </c>
      <c r="K819" s="58"/>
      <c r="L819" s="58">
        <f t="shared" ref="L819" si="703">N819-M819</f>
        <v>27589660000</v>
      </c>
      <c r="M819" s="152">
        <v>75880400000</v>
      </c>
      <c r="N819" s="152">
        <v>103470060000</v>
      </c>
      <c r="O819" s="58">
        <f t="shared" ref="O819" si="704">Q819-P819</f>
        <v>1408045000</v>
      </c>
      <c r="P819" s="58"/>
      <c r="Q819" s="58">
        <v>1408045000</v>
      </c>
      <c r="R819" s="58">
        <f t="shared" ref="R819" si="705">T819-S819</f>
        <v>1760505000</v>
      </c>
      <c r="S819" s="58"/>
      <c r="T819" s="58">
        <v>1760505000</v>
      </c>
      <c r="U819" s="58">
        <f t="shared" ref="U819" si="706">W819-V819</f>
        <v>169636000</v>
      </c>
      <c r="V819" s="58"/>
      <c r="W819" s="152">
        <v>169636000</v>
      </c>
      <c r="X819" s="58">
        <f t="shared" ref="X819" si="707">Z819-Y819</f>
        <v>435640000</v>
      </c>
      <c r="Y819" s="58"/>
      <c r="Z819" s="58">
        <v>435640000</v>
      </c>
      <c r="AA819" s="58">
        <f t="shared" ref="AA819" si="708">AC819-AB819</f>
        <v>840872000</v>
      </c>
      <c r="AB819" s="58"/>
      <c r="AC819" s="58">
        <v>840872000</v>
      </c>
      <c r="AD819" s="58"/>
      <c r="AE819" s="58"/>
      <c r="AF819" s="58"/>
      <c r="AG819" s="122"/>
      <c r="AH819" s="122"/>
      <c r="AI819" s="122"/>
      <c r="AJ819" s="121">
        <f>ROUND(H819*0.0108%+I819*0.018%+K819*0.018%+L819*0.0108%+M819*0.018%+O819*0.0108%+P819*0.018%+R819*0.0108%+S819*0.018%+V819*0.018%+U819*0.0108%+X819*0.0108%+Y819*0.018%+AA819*0.0108%+AB819*0.018%,0)</f>
        <v>31226613</v>
      </c>
      <c r="AK819" s="66">
        <v>2596500</v>
      </c>
      <c r="AL819" s="54">
        <v>44872</v>
      </c>
      <c r="AM819" s="116">
        <v>1818</v>
      </c>
      <c r="AN819" s="42">
        <f>1415*2550</f>
        <v>3608250</v>
      </c>
      <c r="AO819" s="125">
        <f t="shared" si="700"/>
        <v>4908600</v>
      </c>
      <c r="AP819" s="59"/>
      <c r="AQ819" s="102">
        <v>23761876000000</v>
      </c>
      <c r="AR819" s="102">
        <v>493958710000</v>
      </c>
      <c r="AS819" s="102">
        <v>341242352278</v>
      </c>
      <c r="AT819" s="104">
        <v>502152552278</v>
      </c>
      <c r="AU819" s="55">
        <f t="shared" si="692"/>
        <v>85785717</v>
      </c>
      <c r="AV819" s="99">
        <f t="shared" si="701"/>
        <v>20391397358.595997</v>
      </c>
    </row>
    <row r="820" spans="1:48" ht="15">
      <c r="A820" s="28">
        <v>44873</v>
      </c>
      <c r="B820" s="65">
        <v>35391251000</v>
      </c>
      <c r="C820" s="65">
        <v>21366505000</v>
      </c>
      <c r="D820" s="65"/>
      <c r="E820" s="65"/>
      <c r="F820" s="65">
        <f>SUM(B820:E820)</f>
        <v>56757756000</v>
      </c>
      <c r="G820" s="65">
        <f t="shared" ref="G820:G822" si="709">ROUND(F820*0.027%,0)</f>
        <v>15324594</v>
      </c>
      <c r="H820" s="58">
        <f>J820-I820</f>
        <v>1605311000</v>
      </c>
      <c r="I820" s="58">
        <v>81577700000</v>
      </c>
      <c r="J820" s="58">
        <v>83183011000</v>
      </c>
      <c r="K820" s="58"/>
      <c r="L820" s="58">
        <f>N820-M820</f>
        <v>4673110000</v>
      </c>
      <c r="M820" s="152">
        <v>10440000000</v>
      </c>
      <c r="N820" s="152">
        <v>15113110000</v>
      </c>
      <c r="O820" s="58">
        <f>Q820-P820</f>
        <v>517103000</v>
      </c>
      <c r="P820" s="58"/>
      <c r="Q820" s="58">
        <v>517103000</v>
      </c>
      <c r="R820" s="58">
        <f>T820-S820</f>
        <v>818780000</v>
      </c>
      <c r="S820" s="58"/>
      <c r="T820" s="58">
        <v>818780000</v>
      </c>
      <c r="U820" s="58">
        <f>W820-V820</f>
        <v>93533000</v>
      </c>
      <c r="V820" s="58"/>
      <c r="W820" s="152">
        <v>93533000</v>
      </c>
      <c r="X820" s="58">
        <f>Z820-Y820</f>
        <v>345133000</v>
      </c>
      <c r="Y820" s="58"/>
      <c r="Z820" s="58">
        <v>345133000</v>
      </c>
      <c r="AA820" s="58">
        <f>AC820-AB820</f>
        <v>839967000</v>
      </c>
      <c r="AB820" s="58"/>
      <c r="AC820" s="58">
        <v>839967000</v>
      </c>
      <c r="AD820" s="58"/>
      <c r="AE820" s="58"/>
      <c r="AF820" s="58"/>
      <c r="AG820" s="122"/>
      <c r="AH820" s="122"/>
      <c r="AI820" s="122"/>
      <c r="AJ820" s="121">
        <v>17523625</v>
      </c>
      <c r="AK820" s="66">
        <v>1895490</v>
      </c>
      <c r="AL820" s="54">
        <v>44873</v>
      </c>
      <c r="AM820" s="116">
        <v>932</v>
      </c>
      <c r="AN820" s="42">
        <f>867*2550</f>
        <v>2210850</v>
      </c>
      <c r="AO820" s="125">
        <f t="shared" si="700"/>
        <v>2516400</v>
      </c>
      <c r="AP820" s="59"/>
      <c r="AQ820" s="102">
        <v>23002256000000</v>
      </c>
      <c r="AR820" s="102">
        <v>324877500000</v>
      </c>
      <c r="AS820" s="102">
        <v>193606767776</v>
      </c>
      <c r="AT820" s="104">
        <v>250364523776</v>
      </c>
      <c r="AU820" s="55">
        <f t="shared" si="692"/>
        <v>39470959</v>
      </c>
      <c r="AV820" s="99">
        <f t="shared" si="701"/>
        <v>20430868317.595997</v>
      </c>
    </row>
    <row r="821" spans="1:48" ht="15">
      <c r="A821" s="28">
        <v>44874</v>
      </c>
      <c r="B821" s="65">
        <v>47926245000</v>
      </c>
      <c r="C821" s="65"/>
      <c r="D821" s="65"/>
      <c r="E821" s="65"/>
      <c r="F821" s="65">
        <f t="shared" ref="F821:F822" si="710">SUM(B821:E821)</f>
        <v>47926245000</v>
      </c>
      <c r="G821" s="65">
        <f t="shared" si="709"/>
        <v>12940086</v>
      </c>
      <c r="H821" s="58">
        <f>J821-I821</f>
        <v>6616000</v>
      </c>
      <c r="I821" s="58">
        <v>68307200000</v>
      </c>
      <c r="J821" s="58">
        <v>68313816000</v>
      </c>
      <c r="K821" s="58"/>
      <c r="L821" s="58">
        <f>N821-M821</f>
        <v>84357000</v>
      </c>
      <c r="M821" s="152">
        <v>27133000000</v>
      </c>
      <c r="N821" s="152">
        <v>27217357000</v>
      </c>
      <c r="O821" s="58">
        <f>Q821-P821</f>
        <v>234477000</v>
      </c>
      <c r="P821" s="58"/>
      <c r="Q821" s="58">
        <v>234477000</v>
      </c>
      <c r="R821" s="58">
        <f>T821-S821</f>
        <v>804326000</v>
      </c>
      <c r="S821" s="58"/>
      <c r="T821" s="58">
        <v>804326000</v>
      </c>
      <c r="U821" s="58">
        <f>W821-V821</f>
        <v>166019000</v>
      </c>
      <c r="V821" s="58"/>
      <c r="W821" s="152">
        <v>166019000</v>
      </c>
      <c r="X821" s="58">
        <f>Z821-Y821</f>
        <v>337284000</v>
      </c>
      <c r="Y821" s="58"/>
      <c r="Z821" s="58">
        <v>337284000</v>
      </c>
      <c r="AA821" s="58">
        <f>AC821-AB821</f>
        <v>97154000</v>
      </c>
      <c r="AB821" s="58"/>
      <c r="AC821" s="58">
        <v>97154000</v>
      </c>
      <c r="AD821" s="58"/>
      <c r="AE821" s="58"/>
      <c r="AF821" s="58"/>
      <c r="AG821" s="122"/>
      <c r="AH821" s="122"/>
      <c r="AI821" s="122"/>
      <c r="AJ821" s="121">
        <f t="shared" ref="AJ821:AJ822" si="711">ROUND(H821*0.0108%+I821*0.018%+K821*0.018%+L821*0.0108%+M821*0.018%+O821*0.0108%+P821*0.018%+R821*0.0108%+S821*0.018%+V821*0.018%+U821*0.0108%+X821*0.0108%+Y821*0.018%+AA821*0.0108%+AB821*0.018%,0)</f>
        <v>17366101</v>
      </c>
      <c r="AK821" s="66">
        <v>2219940</v>
      </c>
      <c r="AL821" s="54">
        <v>44874</v>
      </c>
      <c r="AM821" s="116">
        <v>1706</v>
      </c>
      <c r="AN821" s="42">
        <f>141*2550</f>
        <v>359550</v>
      </c>
      <c r="AO821" s="125">
        <f t="shared" si="700"/>
        <v>4606200</v>
      </c>
      <c r="AP821" s="59"/>
      <c r="AQ821" s="102">
        <v>22938132000000</v>
      </c>
      <c r="AR821" s="102">
        <v>733133662000</v>
      </c>
      <c r="AS821" s="102">
        <v>194081802993</v>
      </c>
      <c r="AT821" s="104">
        <v>242008047993</v>
      </c>
      <c r="AU821" s="55">
        <f t="shared" si="692"/>
        <v>37491877</v>
      </c>
      <c r="AV821" s="99">
        <f t="shared" si="701"/>
        <v>20468360194.595997</v>
      </c>
    </row>
    <row r="822" spans="1:48" ht="15">
      <c r="A822" s="28">
        <v>44875</v>
      </c>
      <c r="B822" s="65">
        <v>83094620000</v>
      </c>
      <c r="C822" s="65">
        <v>49419120000</v>
      </c>
      <c r="D822" s="65"/>
      <c r="E822" s="65"/>
      <c r="F822" s="65">
        <f t="shared" si="710"/>
        <v>132513740000</v>
      </c>
      <c r="G822" s="65">
        <f t="shared" si="709"/>
        <v>35778710</v>
      </c>
      <c r="H822" s="58">
        <f>J822-I822</f>
        <v>0</v>
      </c>
      <c r="I822" s="58">
        <v>99460500000</v>
      </c>
      <c r="J822" s="58">
        <v>99460500000</v>
      </c>
      <c r="K822" s="58"/>
      <c r="L822" s="58">
        <f>N822-M822</f>
        <v>2981790000</v>
      </c>
      <c r="M822" s="58">
        <v>91856500000</v>
      </c>
      <c r="N822" s="152">
        <v>94838290000</v>
      </c>
      <c r="O822" s="58">
        <f>Q822-P822</f>
        <v>2284452000</v>
      </c>
      <c r="P822" s="58"/>
      <c r="Q822" s="58">
        <v>2284452000</v>
      </c>
      <c r="R822" s="58">
        <f>T822-S822</f>
        <v>1578503000</v>
      </c>
      <c r="S822" s="58"/>
      <c r="T822" s="58">
        <v>1578503000</v>
      </c>
      <c r="U822" s="58">
        <f>W822-V822</f>
        <v>99411000</v>
      </c>
      <c r="V822" s="58"/>
      <c r="W822" s="152">
        <v>99411000</v>
      </c>
      <c r="X822" s="58">
        <f>Z822-Y822</f>
        <v>349030000</v>
      </c>
      <c r="Y822" s="122"/>
      <c r="Z822" s="58">
        <v>349030000</v>
      </c>
      <c r="AA822" s="58">
        <f>AC822-AB822</f>
        <v>933590000</v>
      </c>
      <c r="AB822" s="122"/>
      <c r="AC822" s="58">
        <v>933590000</v>
      </c>
      <c r="AD822" s="58"/>
      <c r="AE822" s="122"/>
      <c r="AF822" s="58"/>
      <c r="AG822" s="122"/>
      <c r="AH822" s="122"/>
      <c r="AI822" s="122"/>
      <c r="AJ822" s="121">
        <f t="shared" si="711"/>
        <v>35325552</v>
      </c>
      <c r="AK822" s="66">
        <v>2463050</v>
      </c>
      <c r="AL822" s="54">
        <v>44875</v>
      </c>
      <c r="AM822" s="116">
        <v>870</v>
      </c>
      <c r="AN822" s="42">
        <f>719*2550</f>
        <v>1833450</v>
      </c>
      <c r="AO822" s="125">
        <f t="shared" si="700"/>
        <v>2349000</v>
      </c>
      <c r="AP822" s="59"/>
      <c r="AQ822" s="102">
        <v>24291588000000</v>
      </c>
      <c r="AR822" s="102">
        <v>584177880000</v>
      </c>
      <c r="AS822" s="102">
        <v>393020714743</v>
      </c>
      <c r="AT822" s="104">
        <v>525534454743</v>
      </c>
      <c r="AU822" s="55">
        <f t="shared" si="692"/>
        <v>77749762</v>
      </c>
      <c r="AV822" s="99">
        <f t="shared" si="701"/>
        <v>20546109956.595997</v>
      </c>
    </row>
    <row r="823" spans="1:48" ht="15">
      <c r="A823" s="28">
        <v>44876</v>
      </c>
      <c r="B823" s="65">
        <v>26304045000</v>
      </c>
      <c r="C823" s="65">
        <v>17798260000</v>
      </c>
      <c r="D823" s="65"/>
      <c r="E823" s="65"/>
      <c r="F823" s="65">
        <f>SUM(B823:E823)</f>
        <v>44102305000</v>
      </c>
      <c r="G823" s="65">
        <f>ROUND(F823*0.027%,0)</f>
        <v>11907622</v>
      </c>
      <c r="H823" s="58">
        <f>J823-I823</f>
        <v>1366000000</v>
      </c>
      <c r="I823" s="58">
        <v>104614200000</v>
      </c>
      <c r="J823" s="58">
        <v>105980200000</v>
      </c>
      <c r="K823" s="58"/>
      <c r="L823" s="58">
        <f>N823-M823</f>
        <v>2865430000</v>
      </c>
      <c r="M823" s="58">
        <v>97872000000</v>
      </c>
      <c r="N823" s="152">
        <v>100737430000</v>
      </c>
      <c r="O823" s="58">
        <f>Q823-P823</f>
        <v>1541998000</v>
      </c>
      <c r="P823" s="58"/>
      <c r="Q823" s="58">
        <v>1541998000</v>
      </c>
      <c r="R823" s="58">
        <f>T823-S823</f>
        <v>973126000</v>
      </c>
      <c r="S823" s="58"/>
      <c r="T823" s="58">
        <v>973126000</v>
      </c>
      <c r="U823" s="58">
        <f>W823-V823</f>
        <v>125805000</v>
      </c>
      <c r="V823" s="58"/>
      <c r="W823" s="152">
        <v>125805000</v>
      </c>
      <c r="X823" s="58">
        <f>Z823-Y823</f>
        <v>320556000</v>
      </c>
      <c r="Y823" s="58"/>
      <c r="Z823" s="58">
        <v>320556000</v>
      </c>
      <c r="AA823" s="58">
        <f>AC823-AB823</f>
        <v>16732000</v>
      </c>
      <c r="AB823" s="58"/>
      <c r="AC823" s="58">
        <v>16732000</v>
      </c>
      <c r="AD823" s="58">
        <f>AF823-AE823</f>
        <v>22087000</v>
      </c>
      <c r="AE823" s="58"/>
      <c r="AF823" s="58">
        <v>22087000</v>
      </c>
      <c r="AG823" s="122"/>
      <c r="AH823" s="122"/>
      <c r="AI823" s="122"/>
      <c r="AJ823" s="121">
        <f>ROUND(H823*0.0108%+I823*0.018%+K823*0.018%+L823*0.0108%+M823*0.018%+O823*0.0108%+P823*0.018%+R823*0.0108%+S823*0.018%+V823*0.018%+U823*0.0108%+X823*0.0108%+Y823*0.018%+AA823*0.0108%+AB823*0.018%+AD823*0.0108%+AE823*0.018%,0)</f>
        <v>37228543</v>
      </c>
      <c r="AK823" s="66">
        <v>3089010</v>
      </c>
      <c r="AL823" s="54">
        <v>44876</v>
      </c>
      <c r="AM823" s="116">
        <v>1430</v>
      </c>
      <c r="AN823" s="42">
        <f>1921*2550*3</f>
        <v>14695650</v>
      </c>
      <c r="AO823" s="125">
        <f t="shared" si="700"/>
        <v>3861000</v>
      </c>
      <c r="AP823" s="59"/>
      <c r="AQ823" s="102">
        <v>24821278000000</v>
      </c>
      <c r="AR823" s="102">
        <v>776094174000</v>
      </c>
      <c r="AS823" s="102">
        <v>412870337004</v>
      </c>
      <c r="AT823" s="104">
        <v>456972642004</v>
      </c>
      <c r="AU823" s="55">
        <f t="shared" si="692"/>
        <v>70781825</v>
      </c>
      <c r="AV823" s="99">
        <f t="shared" si="701"/>
        <v>20616891781.595997</v>
      </c>
    </row>
    <row r="824" spans="1:48" ht="15">
      <c r="A824" s="28">
        <v>44879</v>
      </c>
      <c r="B824" s="65">
        <v>26235482000</v>
      </c>
      <c r="C824" s="65">
        <v>84438627550</v>
      </c>
      <c r="D824" s="65"/>
      <c r="E824" s="65"/>
      <c r="F824" s="65">
        <f>SUM(B824:E824)</f>
        <v>110674109550</v>
      </c>
      <c r="G824" s="65">
        <f>ROUND(F824*0.027%,0)</f>
        <v>29882010</v>
      </c>
      <c r="H824" s="58">
        <f t="shared" ref="H824" si="712">J824-I824</f>
        <v>3900751000</v>
      </c>
      <c r="I824" s="58">
        <v>14402100000</v>
      </c>
      <c r="J824" s="58">
        <v>18302851000</v>
      </c>
      <c r="K824" s="58"/>
      <c r="L824" s="58">
        <f t="shared" ref="L824" si="713">N824-M824</f>
        <v>6768862000</v>
      </c>
      <c r="M824" s="152">
        <v>90675000000</v>
      </c>
      <c r="N824" s="152">
        <v>97443862000</v>
      </c>
      <c r="O824" s="58">
        <f t="shared" ref="O824" si="714">Q824-P824</f>
        <v>5690413000</v>
      </c>
      <c r="P824" s="58"/>
      <c r="Q824" s="58">
        <v>5690413000</v>
      </c>
      <c r="R824" s="58">
        <f t="shared" ref="R824" si="715">T824-S824</f>
        <v>1130866000</v>
      </c>
      <c r="S824" s="58"/>
      <c r="T824" s="58">
        <v>1130866000</v>
      </c>
      <c r="U824" s="58">
        <f t="shared" ref="U824" si="716">W824-V824</f>
        <v>129245000</v>
      </c>
      <c r="V824" s="58"/>
      <c r="W824" s="152">
        <v>129245000</v>
      </c>
      <c r="X824" s="58">
        <f t="shared" ref="X824" si="717">Z824-Y824</f>
        <v>303220000</v>
      </c>
      <c r="Y824" s="58"/>
      <c r="Z824" s="58">
        <v>303220000</v>
      </c>
      <c r="AA824" s="58">
        <f t="shared" ref="AA824" si="718">AC824-AB824</f>
        <v>42274000</v>
      </c>
      <c r="AB824" s="58"/>
      <c r="AC824" s="58">
        <v>42274000</v>
      </c>
      <c r="AD824" s="58">
        <f t="shared" ref="AD824" si="719">AF824-AE824</f>
        <v>0</v>
      </c>
      <c r="AE824" s="58"/>
      <c r="AF824" s="58"/>
      <c r="AG824" s="122"/>
      <c r="AH824" s="122"/>
      <c r="AI824" s="122"/>
      <c r="AJ824" s="121">
        <f t="shared" ref="AJ824:AJ827" si="720">ROUND(H824*0.0108%+I824*0.018%+K824*0.018%+L824*0.0108%+M824*0.018%+O824*0.0108%+P824*0.018%+R824*0.0108%+S824*0.018%+V824*0.018%+U824*0.0108%+X824*0.0108%+Y824*0.018%+AA824*0.0108%+AB824*0.018%+AD824*0.0108%+AE824*0.018%,0)</f>
        <v>20854166</v>
      </c>
      <c r="AK824" s="66">
        <v>1931670</v>
      </c>
      <c r="AL824" s="54">
        <v>44879</v>
      </c>
      <c r="AM824" s="116">
        <v>928</v>
      </c>
      <c r="AN824" s="42">
        <f>2550*1947</f>
        <v>4964850</v>
      </c>
      <c r="AO824" s="125">
        <f t="shared" si="700"/>
        <v>2505600</v>
      </c>
      <c r="AP824" s="59"/>
      <c r="AQ824" s="102">
        <v>21322056000000</v>
      </c>
      <c r="AR824" s="102">
        <v>499491148000</v>
      </c>
      <c r="AS824" s="102">
        <v>228770729242</v>
      </c>
      <c r="AT824" s="104">
        <v>339444838792</v>
      </c>
      <c r="AU824" s="55">
        <f t="shared" si="692"/>
        <v>60138296</v>
      </c>
      <c r="AV824" s="99">
        <f t="shared" si="701"/>
        <v>20677030077.595997</v>
      </c>
    </row>
    <row r="825" spans="1:48" ht="15">
      <c r="A825" s="28">
        <v>44880</v>
      </c>
      <c r="B825" s="65">
        <v>44278755000</v>
      </c>
      <c r="C825" s="65">
        <v>153380925000</v>
      </c>
      <c r="D825" s="65"/>
      <c r="E825" s="65"/>
      <c r="F825" s="65">
        <f>SUM(B825:E825)</f>
        <v>197659680000</v>
      </c>
      <c r="G825" s="65">
        <f t="shared" ref="G825:G827" si="721">ROUND(F825*0.027%,0)</f>
        <v>53368114</v>
      </c>
      <c r="H825" s="58">
        <f>J825-I825</f>
        <v>0</v>
      </c>
      <c r="I825" s="58">
        <v>18530000000</v>
      </c>
      <c r="J825" s="58">
        <v>18530000000</v>
      </c>
      <c r="K825" s="58"/>
      <c r="L825" s="58">
        <f>N825-M825</f>
        <v>9448494000</v>
      </c>
      <c r="M825" s="152">
        <v>101640900000</v>
      </c>
      <c r="N825" s="152">
        <v>111089394000</v>
      </c>
      <c r="O825" s="58">
        <f>Q825-P825</f>
        <v>4283549000</v>
      </c>
      <c r="P825" s="58"/>
      <c r="Q825" s="58">
        <v>4283549000</v>
      </c>
      <c r="R825" s="58">
        <f>T825-S825</f>
        <v>927899000</v>
      </c>
      <c r="S825" s="58"/>
      <c r="T825" s="58">
        <v>927899000</v>
      </c>
      <c r="U825" s="58">
        <f>W825-V825</f>
        <v>91609000</v>
      </c>
      <c r="V825" s="58"/>
      <c r="W825" s="152">
        <v>91609000</v>
      </c>
      <c r="X825" s="58">
        <f>Z825-Y825</f>
        <v>341453000</v>
      </c>
      <c r="Y825" s="58"/>
      <c r="Z825" s="58">
        <v>341453000</v>
      </c>
      <c r="AA825" s="58">
        <f>AC825-AB825</f>
        <v>124908000</v>
      </c>
      <c r="AB825" s="58"/>
      <c r="AC825" s="58">
        <v>124908000</v>
      </c>
      <c r="AD825" s="58">
        <f>AF825-AE825</f>
        <v>187000000</v>
      </c>
      <c r="AE825" s="58"/>
      <c r="AF825" s="58">
        <v>187000000</v>
      </c>
      <c r="AG825" s="122"/>
      <c r="AH825" s="122"/>
      <c r="AI825" s="122"/>
      <c r="AJ825" s="121">
        <f t="shared" si="720"/>
        <v>23294492</v>
      </c>
      <c r="AK825" s="66">
        <v>1994970</v>
      </c>
      <c r="AL825" s="54">
        <v>44880</v>
      </c>
      <c r="AM825" s="116">
        <v>700</v>
      </c>
      <c r="AN825" s="42">
        <f>2550*1405</f>
        <v>3582750</v>
      </c>
      <c r="AO825" s="125">
        <f t="shared" si="700"/>
        <v>1890000</v>
      </c>
      <c r="AP825" s="59"/>
      <c r="AQ825" s="102">
        <v>22584250000000</v>
      </c>
      <c r="AR825" s="102">
        <v>432108832000</v>
      </c>
      <c r="AS825" s="102">
        <v>243209290632</v>
      </c>
      <c r="AT825" s="104">
        <v>440868970632</v>
      </c>
      <c r="AU825" s="55">
        <f t="shared" si="692"/>
        <v>84130326</v>
      </c>
      <c r="AV825" s="99">
        <f t="shared" si="701"/>
        <v>20761160403.595997</v>
      </c>
    </row>
    <row r="826" spans="1:48" ht="15">
      <c r="A826" s="28">
        <v>44881</v>
      </c>
      <c r="B826" s="65">
        <v>81981004000</v>
      </c>
      <c r="C826" s="65">
        <v>83699380000</v>
      </c>
      <c r="D826" s="65"/>
      <c r="E826" s="65"/>
      <c r="F826" s="65">
        <f t="shared" ref="F826:F827" si="722">SUM(B826:E826)</f>
        <v>165680384000</v>
      </c>
      <c r="G826" s="65">
        <f t="shared" si="721"/>
        <v>44733704</v>
      </c>
      <c r="H826" s="58">
        <f>J826-I826</f>
        <v>6218048000</v>
      </c>
      <c r="I826" s="58">
        <v>66993000000</v>
      </c>
      <c r="J826" s="58">
        <v>73211048000</v>
      </c>
      <c r="K826" s="58"/>
      <c r="L826" s="58">
        <f>N826-M826</f>
        <v>5049517000</v>
      </c>
      <c r="M826" s="152">
        <v>79749800000</v>
      </c>
      <c r="N826" s="152">
        <v>84799317000</v>
      </c>
      <c r="O826" s="58">
        <f>Q826-P826</f>
        <v>449310000</v>
      </c>
      <c r="P826" s="58"/>
      <c r="Q826" s="58">
        <v>449310000</v>
      </c>
      <c r="R826" s="58">
        <f>T826-S826</f>
        <v>791339000</v>
      </c>
      <c r="S826" s="58"/>
      <c r="T826" s="58">
        <v>791339000</v>
      </c>
      <c r="U826" s="58">
        <f>W826-V826</f>
        <v>161208000</v>
      </c>
      <c r="V826" s="58"/>
      <c r="W826" s="152">
        <v>161208000</v>
      </c>
      <c r="X826" s="58">
        <f>Z826-Y826</f>
        <v>324793000</v>
      </c>
      <c r="Y826" s="58"/>
      <c r="Z826" s="58">
        <v>324793000</v>
      </c>
      <c r="AA826" s="58">
        <f>AC826-AB826</f>
        <v>45103000</v>
      </c>
      <c r="AB826" s="58"/>
      <c r="AC826" s="58">
        <v>45103000</v>
      </c>
      <c r="AD826" s="58">
        <f>AF826-AE826</f>
        <v>0</v>
      </c>
      <c r="AE826" s="58"/>
      <c r="AF826" s="58"/>
      <c r="AG826" s="122"/>
      <c r="AH826" s="122"/>
      <c r="AI826" s="122"/>
      <c r="AJ826" s="121">
        <f t="shared" si="720"/>
        <v>27821950</v>
      </c>
      <c r="AK826" s="66">
        <v>3024600</v>
      </c>
      <c r="AL826" s="54">
        <v>44881</v>
      </c>
      <c r="AM826" s="116">
        <v>1971</v>
      </c>
      <c r="AN826" s="42">
        <f>2550*740</f>
        <v>1887000</v>
      </c>
      <c r="AO826" s="125">
        <f t="shared" si="700"/>
        <v>5321700</v>
      </c>
      <c r="AP826" s="59"/>
      <c r="AQ826" s="102">
        <v>32734866000000</v>
      </c>
      <c r="AR826" s="102">
        <v>518900000000</v>
      </c>
      <c r="AS826" s="102">
        <v>306880570126</v>
      </c>
      <c r="AT826" s="104">
        <v>472560954126</v>
      </c>
      <c r="AU826" s="55">
        <f t="shared" si="692"/>
        <v>82788954</v>
      </c>
      <c r="AV826" s="99">
        <f t="shared" si="701"/>
        <v>20843949357.595997</v>
      </c>
    </row>
    <row r="827" spans="1:48" ht="15">
      <c r="A827" s="28">
        <v>44882</v>
      </c>
      <c r="B827" s="65">
        <v>142936524000</v>
      </c>
      <c r="C827" s="65">
        <v>95152285000</v>
      </c>
      <c r="D827" s="65"/>
      <c r="E827" s="65"/>
      <c r="F827" s="65">
        <f t="shared" si="722"/>
        <v>238088809000</v>
      </c>
      <c r="G827" s="65">
        <f t="shared" si="721"/>
        <v>64283978</v>
      </c>
      <c r="H827" s="58">
        <f>J827-I827</f>
        <v>6164443000</v>
      </c>
      <c r="I827" s="58">
        <v>42672300000</v>
      </c>
      <c r="J827" s="58">
        <v>48836743000</v>
      </c>
      <c r="K827" s="58"/>
      <c r="L827" s="58">
        <f>N827-M827</f>
        <v>4113596000</v>
      </c>
      <c r="M827" s="58">
        <v>32209400000</v>
      </c>
      <c r="N827" s="152">
        <v>36322996000</v>
      </c>
      <c r="O827" s="58">
        <f>Q827-P827</f>
        <v>3197712000</v>
      </c>
      <c r="P827" s="58"/>
      <c r="Q827" s="58">
        <v>3197712000</v>
      </c>
      <c r="R827" s="58">
        <f>T827-S827</f>
        <v>982186000</v>
      </c>
      <c r="S827" s="58"/>
      <c r="T827" s="58">
        <v>982186000</v>
      </c>
      <c r="U827" s="58">
        <f>W827-V827</f>
        <v>114197000</v>
      </c>
      <c r="V827" s="58"/>
      <c r="W827" s="152">
        <v>114197000</v>
      </c>
      <c r="X827" s="58">
        <f>Z827-Y827</f>
        <v>323600000</v>
      </c>
      <c r="Y827" s="122">
        <v>40748400000</v>
      </c>
      <c r="Z827" s="58">
        <v>41072000000</v>
      </c>
      <c r="AA827" s="58">
        <f>AC827-AB827</f>
        <v>150694000</v>
      </c>
      <c r="AB827" s="122"/>
      <c r="AC827" s="58">
        <v>150694000</v>
      </c>
      <c r="AD827" s="58">
        <f>AF827-AE827</f>
        <v>383084000</v>
      </c>
      <c r="AE827" s="122"/>
      <c r="AF827" s="58">
        <v>383084000</v>
      </c>
      <c r="AG827" s="122"/>
      <c r="AH827" s="122"/>
      <c r="AI827" s="122"/>
      <c r="AJ827" s="121">
        <f t="shared" si="720"/>
        <v>22479805</v>
      </c>
      <c r="AK827" s="66">
        <v>2909430</v>
      </c>
      <c r="AL827" s="54">
        <v>44882</v>
      </c>
      <c r="AM827" s="116">
        <v>2765</v>
      </c>
      <c r="AN827" s="42">
        <f>2550*919</f>
        <v>2343450</v>
      </c>
      <c r="AO827" s="125">
        <f t="shared" si="700"/>
        <v>7465500</v>
      </c>
      <c r="AP827" s="59"/>
      <c r="AQ827" s="102">
        <v>25209588000000</v>
      </c>
      <c r="AR827" s="102">
        <v>521974000000</v>
      </c>
      <c r="AS827" s="102">
        <v>247442608365</v>
      </c>
      <c r="AT827" s="104">
        <v>485531417365</v>
      </c>
      <c r="AU827" s="55">
        <f t="shared" si="692"/>
        <v>99482163</v>
      </c>
      <c r="AV827" s="99">
        <f t="shared" si="701"/>
        <v>20943431520.595997</v>
      </c>
    </row>
    <row r="828" spans="1:48" ht="15">
      <c r="A828" s="28">
        <v>44883</v>
      </c>
      <c r="B828" s="65">
        <v>39094726000</v>
      </c>
      <c r="C828" s="65">
        <v>62962905000</v>
      </c>
      <c r="D828" s="65"/>
      <c r="E828" s="65"/>
      <c r="F828" s="65">
        <f>SUM(B828:E828)</f>
        <v>102057631000</v>
      </c>
      <c r="G828" s="65">
        <f>ROUND(F828*0.027%,0)</f>
        <v>27555560</v>
      </c>
      <c r="H828" s="58">
        <f>J828-I828</f>
        <v>214850000</v>
      </c>
      <c r="I828" s="58">
        <v>17919200000</v>
      </c>
      <c r="J828" s="58">
        <v>18134050000</v>
      </c>
      <c r="K828" s="58"/>
      <c r="L828" s="58">
        <f>N828-M828</f>
        <v>20556000</v>
      </c>
      <c r="M828" s="58">
        <v>34301000000</v>
      </c>
      <c r="N828" s="152">
        <v>34321556000</v>
      </c>
      <c r="O828" s="58">
        <f>Q828-P828</f>
        <v>2837259000</v>
      </c>
      <c r="P828" s="58"/>
      <c r="Q828" s="58">
        <v>2837259000</v>
      </c>
      <c r="R828" s="58">
        <f>T828-S828</f>
        <v>533261000</v>
      </c>
      <c r="S828" s="58"/>
      <c r="T828" s="58">
        <v>533261000</v>
      </c>
      <c r="U828" s="58">
        <f>W828-V828</f>
        <v>153366000</v>
      </c>
      <c r="V828" s="58"/>
      <c r="W828" s="152">
        <v>153366000</v>
      </c>
      <c r="X828" s="58">
        <f>Z828-Y828</f>
        <v>504567000</v>
      </c>
      <c r="Y828" s="58"/>
      <c r="Z828" s="58">
        <v>504567000</v>
      </c>
      <c r="AA828" s="58">
        <f>AC828-AB828</f>
        <v>132182000</v>
      </c>
      <c r="AB828" s="58"/>
      <c r="AC828" s="58">
        <v>132182000</v>
      </c>
      <c r="AD828" s="58">
        <f>AF828-AE828</f>
        <v>0</v>
      </c>
      <c r="AE828" s="58">
        <v>41944860000</v>
      </c>
      <c r="AF828" s="58">
        <v>41944860000</v>
      </c>
      <c r="AG828" s="122"/>
      <c r="AH828" s="122"/>
      <c r="AI828" s="122"/>
      <c r="AJ828" s="121">
        <f>ROUND(H828*0.0108%+I828*0.018%+K828*0.018%+L828*0.0108%+M828*0.018%+O828*0.0108%+P828*0.018%+R828*0.0108%+S828*0.018%+V828*0.018%+U828*0.0108%+X828*0.0108%+Y828*0.018%+AA828*0.0108%+AB828*0.018%+AD828*0.0108%+AE828*0.018%,0)</f>
        <v>17424483</v>
      </c>
      <c r="AK828" s="66">
        <v>2693910</v>
      </c>
      <c r="AL828" s="54">
        <v>44883</v>
      </c>
      <c r="AM828" s="116">
        <v>1272</v>
      </c>
      <c r="AN828" s="42">
        <f>1624*2550*3</f>
        <v>12423600</v>
      </c>
      <c r="AO828" s="125">
        <f t="shared" si="700"/>
        <v>3434400</v>
      </c>
      <c r="AP828" s="59"/>
      <c r="AQ828" s="102">
        <v>30567868000000</v>
      </c>
      <c r="AR828" s="102">
        <v>370622000000</v>
      </c>
      <c r="AS828" s="102">
        <v>193040661602</v>
      </c>
      <c r="AT828" s="104">
        <v>295098292602</v>
      </c>
      <c r="AU828" s="55">
        <f t="shared" si="692"/>
        <v>63531953</v>
      </c>
      <c r="AV828" s="99">
        <f t="shared" si="701"/>
        <v>21006963473.595997</v>
      </c>
    </row>
    <row r="829" spans="1:48" ht="15">
      <c r="A829" s="28">
        <v>44886</v>
      </c>
      <c r="B829" s="65">
        <v>82099390000</v>
      </c>
      <c r="C829" s="65">
        <v>45967445820</v>
      </c>
      <c r="D829" s="65"/>
      <c r="E829" s="65"/>
      <c r="F829" s="65">
        <f>SUM(B829:E829)</f>
        <v>128066835820</v>
      </c>
      <c r="G829" s="65">
        <f>ROUND(F829*0.027%,0)</f>
        <v>34578046</v>
      </c>
      <c r="H829" s="58">
        <f t="shared" ref="H829" si="723">J829-I829</f>
        <v>1434813000</v>
      </c>
      <c r="I829" s="58">
        <v>17899600000</v>
      </c>
      <c r="J829" s="58">
        <v>19334413000</v>
      </c>
      <c r="K829" s="58"/>
      <c r="L829" s="58">
        <f t="shared" ref="L829" si="724">N829-M829</f>
        <v>45080000</v>
      </c>
      <c r="M829" s="152">
        <v>36401000000</v>
      </c>
      <c r="N829" s="152">
        <v>36446080000</v>
      </c>
      <c r="O829" s="58">
        <f t="shared" ref="O829" si="725">Q829-P829</f>
        <v>504822000</v>
      </c>
      <c r="P829" s="58"/>
      <c r="Q829" s="58">
        <v>504822000</v>
      </c>
      <c r="R829" s="58">
        <f t="shared" ref="R829" si="726">T829-S829</f>
        <v>971077000</v>
      </c>
      <c r="S829" s="58"/>
      <c r="T829" s="58">
        <v>971077000</v>
      </c>
      <c r="U829" s="58">
        <f t="shared" ref="U829" si="727">W829-V829</f>
        <v>252496000</v>
      </c>
      <c r="V829" s="58"/>
      <c r="W829" s="152">
        <v>252496000</v>
      </c>
      <c r="X829" s="58">
        <f t="shared" ref="X829" si="728">Z829-Y829</f>
        <v>356964000</v>
      </c>
      <c r="Y829" s="58"/>
      <c r="Z829" s="58">
        <v>356964000</v>
      </c>
      <c r="AA829" s="58">
        <f t="shared" ref="AA829" si="729">AC829-AB829</f>
        <v>22949000</v>
      </c>
      <c r="AB829" s="58"/>
      <c r="AC829" s="58">
        <v>22949000</v>
      </c>
      <c r="AD829" s="58">
        <f t="shared" ref="AD829" si="730">AF829-AE829</f>
        <v>380500000</v>
      </c>
      <c r="AE829" s="58"/>
      <c r="AF829" s="58">
        <v>380500000</v>
      </c>
      <c r="AG829" s="122"/>
      <c r="AH829" s="122"/>
      <c r="AI829" s="122"/>
      <c r="AJ829" s="121">
        <f t="shared" ref="AJ829:AJ832" si="731">ROUND(H829*0.0108%+I829*0.018%+K829*0.018%+L829*0.0108%+M829*0.018%+O829*0.0108%+P829*0.018%+R829*0.0108%+S829*0.018%+V829*0.018%+U829*0.0108%+X829*0.0108%+Y829*0.018%+AA829*0.0108%+AB829*0.018%+AD829*0.0108%+AE829*0.018%,0)</f>
        <v>10202728</v>
      </c>
      <c r="AK829" s="66">
        <v>1968450</v>
      </c>
      <c r="AL829" s="54">
        <v>44886</v>
      </c>
      <c r="AM829" s="116">
        <v>1056</v>
      </c>
      <c r="AN829" s="42">
        <f>1626*2550</f>
        <v>4146300</v>
      </c>
      <c r="AO829" s="125">
        <f t="shared" si="700"/>
        <v>2851200</v>
      </c>
      <c r="AP829" s="59"/>
      <c r="AQ829" s="102">
        <v>19920692000000</v>
      </c>
      <c r="AR829" s="102">
        <v>275906000000</v>
      </c>
      <c r="AS829" s="102">
        <v>113632351901</v>
      </c>
      <c r="AT829" s="104">
        <v>241699187721</v>
      </c>
      <c r="AU829" s="55">
        <f t="shared" si="692"/>
        <v>53746724</v>
      </c>
      <c r="AV829" s="99">
        <f t="shared" si="701"/>
        <v>21060710197.595997</v>
      </c>
    </row>
    <row r="830" spans="1:48" ht="15">
      <c r="A830" s="28">
        <v>44887</v>
      </c>
      <c r="B830" s="65">
        <v>173443378000</v>
      </c>
      <c r="C830" s="65">
        <v>120468070000</v>
      </c>
      <c r="D830" s="65"/>
      <c r="E830" s="65"/>
      <c r="F830" s="65">
        <f>SUM(B830:E830)</f>
        <v>293911448000</v>
      </c>
      <c r="G830" s="65">
        <f t="shared" ref="G830:G832" si="732">ROUND(F830*0.027%,0)</f>
        <v>79356091</v>
      </c>
      <c r="H830" s="58">
        <f>J830-I830</f>
        <v>26142430000</v>
      </c>
      <c r="I830" s="58">
        <v>52835800000</v>
      </c>
      <c r="J830" s="58">
        <v>78978230000</v>
      </c>
      <c r="K830" s="58"/>
      <c r="L830" s="58">
        <f>N830-M830</f>
        <v>17825098000</v>
      </c>
      <c r="M830" s="152">
        <v>33584874700</v>
      </c>
      <c r="N830" s="152">
        <v>51409972700</v>
      </c>
      <c r="O830" s="58">
        <f>Q830-P830</f>
        <v>588936000</v>
      </c>
      <c r="P830" s="58"/>
      <c r="Q830" s="58">
        <v>588936000</v>
      </c>
      <c r="R830" s="58">
        <f>T830-S830</f>
        <v>1007859000</v>
      </c>
      <c r="S830" s="58"/>
      <c r="T830" s="58">
        <v>1007859000</v>
      </c>
      <c r="U830" s="58">
        <f>W830-V830</f>
        <v>368160000</v>
      </c>
      <c r="V830" s="58"/>
      <c r="W830" s="152">
        <v>368160000</v>
      </c>
      <c r="X830" s="58">
        <f>Z830-Y830</f>
        <v>354505000</v>
      </c>
      <c r="Y830" s="58"/>
      <c r="Z830" s="58">
        <v>354505000</v>
      </c>
      <c r="AA830" s="58">
        <f>AC830-AB830</f>
        <v>56213000</v>
      </c>
      <c r="AB830" s="58"/>
      <c r="AC830" s="58">
        <v>56213000</v>
      </c>
      <c r="AD830" s="58">
        <f>AF830-AE830</f>
        <v>183750000</v>
      </c>
      <c r="AE830" s="58"/>
      <c r="AF830" s="58">
        <v>183750000</v>
      </c>
      <c r="AG830" s="122"/>
      <c r="AH830" s="122"/>
      <c r="AI830" s="122"/>
      <c r="AJ830" s="121">
        <f t="shared" si="731"/>
        <v>20580632</v>
      </c>
      <c r="AK830" s="66">
        <v>4687920</v>
      </c>
      <c r="AL830" s="54">
        <v>44887</v>
      </c>
      <c r="AM830" s="116">
        <v>3469</v>
      </c>
      <c r="AN830" s="42">
        <f>2161*2550</f>
        <v>5510550</v>
      </c>
      <c r="AO830" s="125">
        <f t="shared" si="700"/>
        <v>9366300</v>
      </c>
      <c r="AP830" s="59"/>
      <c r="AQ830" s="102">
        <v>36536678000000</v>
      </c>
      <c r="AR830" s="102">
        <v>412406000000</v>
      </c>
      <c r="AS830" s="102">
        <v>220208847742</v>
      </c>
      <c r="AT830" s="104">
        <v>514120295742</v>
      </c>
      <c r="AU830" s="55">
        <f t="shared" si="692"/>
        <v>119501493</v>
      </c>
      <c r="AV830" s="99">
        <f t="shared" si="701"/>
        <v>21180211690.595997</v>
      </c>
    </row>
    <row r="831" spans="1:48" ht="15">
      <c r="A831" s="28">
        <v>44888</v>
      </c>
      <c r="B831" s="65">
        <v>87455870000</v>
      </c>
      <c r="C831" s="65">
        <v>14711615000</v>
      </c>
      <c r="D831" s="65"/>
      <c r="E831" s="65"/>
      <c r="F831" s="65">
        <f t="shared" ref="F831:F832" si="733">SUM(B831:E831)</f>
        <v>102167485000</v>
      </c>
      <c r="G831" s="65">
        <f t="shared" si="732"/>
        <v>27585221</v>
      </c>
      <c r="H831" s="58">
        <f>J831-I831</f>
        <v>26782089000</v>
      </c>
      <c r="I831" s="58">
        <v>55855300000</v>
      </c>
      <c r="J831" s="58">
        <v>82637389000</v>
      </c>
      <c r="K831" s="58"/>
      <c r="L831" s="58">
        <f>N831-M831</f>
        <v>7714435000</v>
      </c>
      <c r="M831" s="152">
        <v>71365000000</v>
      </c>
      <c r="N831" s="152">
        <v>79079435000</v>
      </c>
      <c r="O831" s="58">
        <f>Q831-P831</f>
        <v>685353000</v>
      </c>
      <c r="P831" s="58"/>
      <c r="Q831" s="58">
        <v>685353000</v>
      </c>
      <c r="R831" s="58">
        <f>T831-S831</f>
        <v>1179293000</v>
      </c>
      <c r="S831" s="58"/>
      <c r="T831" s="58">
        <v>1179293000</v>
      </c>
      <c r="U831" s="58">
        <f>W831-V831</f>
        <v>395834000</v>
      </c>
      <c r="V831" s="58"/>
      <c r="W831" s="152">
        <v>395834000</v>
      </c>
      <c r="X831" s="58">
        <f>Z831-Y831</f>
        <v>332026000</v>
      </c>
      <c r="Y831" s="58"/>
      <c r="Z831" s="58">
        <v>332026000</v>
      </c>
      <c r="AA831" s="58">
        <f>AC831-AB831</f>
        <v>4266000</v>
      </c>
      <c r="AB831" s="58"/>
      <c r="AC831" s="58">
        <v>4266000</v>
      </c>
      <c r="AD831" s="58">
        <f>AF831-AE831</f>
        <v>550014000</v>
      </c>
      <c r="AE831" s="58"/>
      <c r="AF831" s="58">
        <v>550014000</v>
      </c>
      <c r="AG831" s="122"/>
      <c r="AH831" s="122"/>
      <c r="AI831" s="122"/>
      <c r="AJ831" s="121">
        <f t="shared" si="731"/>
        <v>26965131</v>
      </c>
      <c r="AK831" s="66">
        <v>8284830</v>
      </c>
      <c r="AL831" s="54">
        <v>44888</v>
      </c>
      <c r="AM831" s="116">
        <v>2091</v>
      </c>
      <c r="AN831" s="42">
        <f>1682*2550</f>
        <v>4289100</v>
      </c>
      <c r="AO831" s="125">
        <f t="shared" si="700"/>
        <v>5645700</v>
      </c>
      <c r="AP831" s="59"/>
      <c r="AQ831" s="102">
        <v>17795152000000</v>
      </c>
      <c r="AR831" s="102">
        <v>422140000000</v>
      </c>
      <c r="AS831" s="102">
        <v>293242324368</v>
      </c>
      <c r="AT831" s="104">
        <v>395409809368</v>
      </c>
      <c r="AU831" s="55">
        <f t="shared" si="692"/>
        <v>72769982</v>
      </c>
      <c r="AV831" s="99">
        <f t="shared" si="701"/>
        <v>21252981672.595997</v>
      </c>
    </row>
    <row r="832" spans="1:48" ht="15">
      <c r="A832" s="28">
        <v>44889</v>
      </c>
      <c r="B832" s="65">
        <v>80261038000</v>
      </c>
      <c r="C832" s="65">
        <v>56764600000</v>
      </c>
      <c r="D832" s="65"/>
      <c r="E832" s="65"/>
      <c r="F832" s="65">
        <f t="shared" si="733"/>
        <v>137025638000</v>
      </c>
      <c r="G832" s="65">
        <f t="shared" si="732"/>
        <v>36996922</v>
      </c>
      <c r="H832" s="58">
        <f>J832-I832</f>
        <v>396350000</v>
      </c>
      <c r="I832" s="58">
        <v>34987300000</v>
      </c>
      <c r="J832" s="58">
        <v>35383650000</v>
      </c>
      <c r="K832" s="58"/>
      <c r="L832" s="58">
        <f>N832-M832</f>
        <v>6183259000</v>
      </c>
      <c r="M832" s="58">
        <v>110491000000</v>
      </c>
      <c r="N832" s="152">
        <v>116674259000</v>
      </c>
      <c r="O832" s="58">
        <f>Q832-P832</f>
        <v>61632000</v>
      </c>
      <c r="P832" s="58"/>
      <c r="Q832" s="58">
        <v>61632000</v>
      </c>
      <c r="R832" s="58">
        <f>T832-S832</f>
        <v>386703000</v>
      </c>
      <c r="S832" s="58"/>
      <c r="T832" s="58">
        <v>386703000</v>
      </c>
      <c r="U832" s="58">
        <f>W832-V832</f>
        <v>49430000</v>
      </c>
      <c r="V832" s="58"/>
      <c r="W832" s="152">
        <v>49430000</v>
      </c>
      <c r="X832" s="58">
        <f>Z832-Y832</f>
        <v>309734000</v>
      </c>
      <c r="Y832" s="122"/>
      <c r="Z832" s="58">
        <v>309734000</v>
      </c>
      <c r="AA832" s="58">
        <f>AC832-AB832</f>
        <v>0</v>
      </c>
      <c r="AB832" s="122"/>
      <c r="AC832" s="58"/>
      <c r="AD832" s="58">
        <f>AF832-AE832</f>
        <v>371673000</v>
      </c>
      <c r="AE832" s="122"/>
      <c r="AF832" s="58">
        <v>371673000</v>
      </c>
      <c r="AG832" s="122"/>
      <c r="AH832" s="122"/>
      <c r="AI832" s="122"/>
      <c r="AJ832" s="121">
        <f t="shared" si="731"/>
        <v>27024042</v>
      </c>
      <c r="AK832" s="66">
        <v>7948800</v>
      </c>
      <c r="AL832" s="54">
        <v>44889</v>
      </c>
      <c r="AM832" s="116">
        <v>2715</v>
      </c>
      <c r="AN832" s="42">
        <f>1423*2550</f>
        <v>3628650</v>
      </c>
      <c r="AO832" s="125">
        <f t="shared" si="700"/>
        <v>7330500</v>
      </c>
      <c r="AP832" s="59"/>
      <c r="AQ832" s="102">
        <v>18647072000000</v>
      </c>
      <c r="AR832" s="102">
        <v>554147000000</v>
      </c>
      <c r="AS832" s="102">
        <v>299733194200</v>
      </c>
      <c r="AT832" s="104">
        <v>436758832200</v>
      </c>
      <c r="AU832" s="55">
        <f t="shared" si="692"/>
        <v>82928914</v>
      </c>
      <c r="AV832" s="99">
        <f t="shared" si="701"/>
        <v>21335910586.595997</v>
      </c>
    </row>
    <row r="833" spans="1:54" ht="15">
      <c r="A833" s="28">
        <v>44890</v>
      </c>
      <c r="B833" s="65">
        <v>99702840000</v>
      </c>
      <c r="C833" s="65">
        <v>90988680000</v>
      </c>
      <c r="D833" s="65"/>
      <c r="E833" s="65"/>
      <c r="F833" s="65">
        <f>SUM(B833:E833)</f>
        <v>190691520000</v>
      </c>
      <c r="G833" s="65">
        <f>ROUND(F833*0.027%,0)</f>
        <v>51486710</v>
      </c>
      <c r="H833" s="58">
        <f>J833-I833</f>
        <v>649500000</v>
      </c>
      <c r="I833" s="58">
        <v>12955800000</v>
      </c>
      <c r="J833" s="58">
        <v>13605300000</v>
      </c>
      <c r="K833" s="58"/>
      <c r="L833" s="58">
        <f>N833-M833</f>
        <v>3475534000</v>
      </c>
      <c r="M833" s="58">
        <v>26717500000</v>
      </c>
      <c r="N833" s="152">
        <v>30193034000</v>
      </c>
      <c r="O833" s="58">
        <f>Q833-P833</f>
        <v>325079000</v>
      </c>
      <c r="P833" s="58"/>
      <c r="Q833" s="58">
        <v>325079000</v>
      </c>
      <c r="R833" s="58">
        <f>T833-S833</f>
        <v>670545000</v>
      </c>
      <c r="S833" s="58"/>
      <c r="T833" s="58">
        <v>670545000</v>
      </c>
      <c r="U833" s="58">
        <f>W833-V833</f>
        <v>71713000</v>
      </c>
      <c r="V833" s="58"/>
      <c r="W833" s="152">
        <v>71713000</v>
      </c>
      <c r="X833" s="58">
        <f>Z833-Y833</f>
        <v>312769000</v>
      </c>
      <c r="Y833" s="58"/>
      <c r="Z833" s="58">
        <v>312769000</v>
      </c>
      <c r="AA833" s="58">
        <f>AC833-AB833</f>
        <v>57593000</v>
      </c>
      <c r="AB833" s="58"/>
      <c r="AC833" s="58">
        <v>57593000</v>
      </c>
      <c r="AD833" s="58">
        <f>AF833-AE833</f>
        <v>467176000</v>
      </c>
      <c r="AE833" s="58"/>
      <c r="AF833" s="58">
        <v>467176000</v>
      </c>
      <c r="AG833" s="122"/>
      <c r="AH833" s="122"/>
      <c r="AI833" s="122"/>
      <c r="AJ833" s="121">
        <f>ROUND(H833*0.0108%+I833*0.018%+K833*0.018%+L833*0.0108%+M833*0.018%+O833*0.0108%+P833*0.018%+R833*0.0108%+S833*0.018%+V833*0.018%+U833*0.0108%+X833*0.0108%+Y833*0.018%+AA833*0.0108%+AB833*0.018%+AD833*0.0108%+AE833*0.018%,0)</f>
        <v>7792424</v>
      </c>
      <c r="AK833" s="66">
        <v>2498000</v>
      </c>
      <c r="AL833" s="54">
        <v>44890</v>
      </c>
      <c r="AM833" s="116">
        <v>2091</v>
      </c>
      <c r="AN833" s="42">
        <f>2922*2550*3</f>
        <v>22353300</v>
      </c>
      <c r="AO833" s="125">
        <f t="shared" si="700"/>
        <v>5645700</v>
      </c>
      <c r="AP833" s="59"/>
      <c r="AQ833" s="102">
        <v>21435414000000</v>
      </c>
      <c r="AR833" s="102">
        <v>194380000000</v>
      </c>
      <c r="AS833" s="102">
        <v>86419911969</v>
      </c>
      <c r="AT833" s="104">
        <v>277111431969</v>
      </c>
      <c r="AU833" s="55">
        <f t="shared" si="692"/>
        <v>89776134</v>
      </c>
      <c r="AV833" s="99">
        <f t="shared" si="701"/>
        <v>21425686720.595997</v>
      </c>
    </row>
    <row r="834" spans="1:54" ht="15">
      <c r="A834" s="28">
        <v>44893</v>
      </c>
      <c r="B834" s="65">
        <v>32805035000</v>
      </c>
      <c r="C834" s="65">
        <v>75081750000</v>
      </c>
      <c r="D834" s="65"/>
      <c r="E834" s="65"/>
      <c r="F834" s="65">
        <f>SUM(B834:E834)</f>
        <v>107886785000</v>
      </c>
      <c r="G834" s="65">
        <f>ROUND(F834*0.027%,0)</f>
        <v>29129432</v>
      </c>
      <c r="H834" s="58">
        <f t="shared" ref="H834" si="734">J834-I834</f>
        <v>7066417000</v>
      </c>
      <c r="I834" s="58">
        <v>45899000000</v>
      </c>
      <c r="J834" s="58">
        <v>52965417000</v>
      </c>
      <c r="K834" s="58"/>
      <c r="L834" s="58">
        <f t="shared" ref="L834" si="735">N834-M834</f>
        <v>51496000</v>
      </c>
      <c r="M834" s="152">
        <v>40300000000</v>
      </c>
      <c r="N834" s="152">
        <v>40351496000</v>
      </c>
      <c r="O834" s="58">
        <f t="shared" ref="O834" si="736">Q834-P834</f>
        <v>795204000</v>
      </c>
      <c r="P834" s="58"/>
      <c r="Q834" s="58">
        <v>795204000</v>
      </c>
      <c r="R834" s="58">
        <f t="shared" ref="R834" si="737">T834-S834</f>
        <v>664726000</v>
      </c>
      <c r="S834" s="58"/>
      <c r="T834" s="58">
        <v>664726000</v>
      </c>
      <c r="U834" s="58">
        <f t="shared" ref="U834" si="738">W834-V834</f>
        <v>0</v>
      </c>
      <c r="V834" s="58"/>
      <c r="W834" s="152">
        <v>0</v>
      </c>
      <c r="X834" s="58">
        <f t="shared" ref="X834" si="739">Z834-Y834</f>
        <v>455229000</v>
      </c>
      <c r="Y834" s="58"/>
      <c r="Z834" s="58">
        <v>455229000</v>
      </c>
      <c r="AA834" s="58">
        <f t="shared" ref="AA834" si="740">AC834-AB834</f>
        <v>126647000</v>
      </c>
      <c r="AB834" s="58"/>
      <c r="AC834" s="58">
        <v>126647000</v>
      </c>
      <c r="AD834" s="58">
        <f t="shared" ref="AD834" si="741">AF834-AE834</f>
        <v>438213000</v>
      </c>
      <c r="AE834" s="58"/>
      <c r="AF834" s="58">
        <v>438213000</v>
      </c>
      <c r="AG834" s="122"/>
      <c r="AH834" s="122"/>
      <c r="AI834" s="122"/>
      <c r="AJ834" s="121">
        <f t="shared" ref="AJ834:AJ837" si="742">ROUND(H834*0.0108%+I834*0.018%+K834*0.018%+L834*0.0108%+M834*0.018%+O834*0.0108%+P834*0.018%+R834*0.0108%+S834*0.018%+V834*0.018%+U834*0.0108%+X834*0.0108%+Y834*0.018%+AA834*0.0108%+AB834*0.018%+AD834*0.0108%+AE834*0.018%,0)</f>
        <v>16552397</v>
      </c>
      <c r="AK834" s="66">
        <v>4286800</v>
      </c>
      <c r="AL834" s="54">
        <v>44893</v>
      </c>
      <c r="AM834" s="116">
        <v>631</v>
      </c>
      <c r="AN834" s="42">
        <f>3159*2550</f>
        <v>8055450</v>
      </c>
      <c r="AO834" s="125">
        <f t="shared" si="700"/>
        <v>1703700</v>
      </c>
      <c r="AP834" s="59"/>
      <c r="AQ834" s="102">
        <v>34590534000000</v>
      </c>
      <c r="AR834" s="102">
        <v>312516000000</v>
      </c>
      <c r="AS834" s="102">
        <v>183167683011</v>
      </c>
      <c r="AT834" s="104">
        <v>291054468011</v>
      </c>
      <c r="AU834" s="55">
        <f t="shared" si="692"/>
        <v>59727779</v>
      </c>
      <c r="AV834" s="99">
        <f t="shared" si="701"/>
        <v>21485414499.595997</v>
      </c>
    </row>
    <row r="835" spans="1:54" ht="15">
      <c r="A835" s="28">
        <v>44894</v>
      </c>
      <c r="B835" s="65">
        <v>125100600000</v>
      </c>
      <c r="C835" s="65">
        <v>58532390000</v>
      </c>
      <c r="D835" s="65"/>
      <c r="E835" s="65"/>
      <c r="F835" s="65">
        <f>SUM(B835:E835)</f>
        <v>183632990000</v>
      </c>
      <c r="G835" s="65">
        <f t="shared" ref="G835:G837" si="743">ROUND(F835*0.027%,0)</f>
        <v>49580907</v>
      </c>
      <c r="H835" s="58">
        <f>J835-I835</f>
        <v>11721846000</v>
      </c>
      <c r="I835" s="58">
        <v>115202400000</v>
      </c>
      <c r="J835" s="58">
        <v>126924246000</v>
      </c>
      <c r="K835" s="58"/>
      <c r="L835" s="58">
        <f>N835-M835</f>
        <v>6702598000</v>
      </c>
      <c r="M835" s="152">
        <v>66956500000</v>
      </c>
      <c r="N835" s="152">
        <v>73659098000</v>
      </c>
      <c r="O835" s="58">
        <f>Q835-P835</f>
        <v>9694051000</v>
      </c>
      <c r="P835" s="58"/>
      <c r="Q835" s="58">
        <v>9694051000</v>
      </c>
      <c r="R835" s="58">
        <f>T835-S835</f>
        <v>616057000</v>
      </c>
      <c r="S835" s="58"/>
      <c r="T835" s="58">
        <v>616057000</v>
      </c>
      <c r="U835" s="58">
        <f>W835-V835</f>
        <v>94865000</v>
      </c>
      <c r="V835" s="58"/>
      <c r="W835" s="152">
        <v>94865000</v>
      </c>
      <c r="X835" s="58">
        <f>Z835-Y835</f>
        <v>554608000</v>
      </c>
      <c r="Y835" s="58"/>
      <c r="Z835" s="58">
        <v>554608000</v>
      </c>
      <c r="AA835" s="58">
        <f>AC835-AB835</f>
        <v>62859000</v>
      </c>
      <c r="AB835" s="58"/>
      <c r="AC835" s="58">
        <v>62859000</v>
      </c>
      <c r="AD835" s="58">
        <f>AF835-AE835</f>
        <v>407348000</v>
      </c>
      <c r="AE835" s="58"/>
      <c r="AF835" s="58">
        <v>407348000</v>
      </c>
      <c r="AG835" s="122"/>
      <c r="AH835" s="122"/>
      <c r="AI835" s="122"/>
      <c r="AJ835" s="121">
        <f t="shared" si="742"/>
        <v>36012859</v>
      </c>
      <c r="AK835" s="66">
        <v>9648700</v>
      </c>
      <c r="AL835" s="54">
        <v>44894</v>
      </c>
      <c r="AM835" s="116">
        <v>2327</v>
      </c>
      <c r="AN835" s="42">
        <f>2126*2550</f>
        <v>5421300</v>
      </c>
      <c r="AO835" s="125">
        <f t="shared" si="700"/>
        <v>6282900</v>
      </c>
      <c r="AP835" s="59"/>
      <c r="AQ835" s="102">
        <v>41147594000000</v>
      </c>
      <c r="AR835" s="102">
        <v>673590000000</v>
      </c>
      <c r="AS835" s="102">
        <v>395274906976</v>
      </c>
      <c r="AT835" s="104">
        <v>578907896976</v>
      </c>
      <c r="AU835" s="55">
        <f t="shared" si="692"/>
        <v>106946666</v>
      </c>
      <c r="AV835" s="99">
        <f t="shared" si="701"/>
        <v>21592361165.595997</v>
      </c>
    </row>
    <row r="836" spans="1:54" ht="15">
      <c r="A836" s="28">
        <v>44895</v>
      </c>
      <c r="B836" s="65">
        <v>93854461000</v>
      </c>
      <c r="C836" s="65">
        <v>3970335000</v>
      </c>
      <c r="D836" s="65"/>
      <c r="E836" s="65"/>
      <c r="F836" s="65">
        <f t="shared" ref="F836:F837" si="744">SUM(B836:E836)</f>
        <v>97824796000</v>
      </c>
      <c r="G836" s="65">
        <f t="shared" si="743"/>
        <v>26412695</v>
      </c>
      <c r="H836" s="58">
        <f>J836-I836</f>
        <v>2564857000</v>
      </c>
      <c r="I836" s="58">
        <v>108108000000</v>
      </c>
      <c r="J836" s="58">
        <v>110672857000</v>
      </c>
      <c r="K836" s="58"/>
      <c r="L836" s="58">
        <f>N836-M836</f>
        <v>0</v>
      </c>
      <c r="M836" s="152">
        <v>111644000000</v>
      </c>
      <c r="N836" s="152">
        <v>111644000000</v>
      </c>
      <c r="O836" s="58">
        <f>Q836-P836</f>
        <v>1018021000</v>
      </c>
      <c r="P836" s="58"/>
      <c r="Q836" s="58">
        <v>1018021000</v>
      </c>
      <c r="R836" s="58">
        <f>T836-S836</f>
        <v>621815000</v>
      </c>
      <c r="S836" s="58"/>
      <c r="T836" s="58">
        <v>621815000</v>
      </c>
      <c r="U836" s="58">
        <f>W836-V836</f>
        <v>10099000</v>
      </c>
      <c r="V836" s="58"/>
      <c r="W836" s="152">
        <v>10099000</v>
      </c>
      <c r="X836" s="58">
        <f>Z836-Y836</f>
        <v>376199000</v>
      </c>
      <c r="Y836" s="58"/>
      <c r="Z836" s="58">
        <v>376199000</v>
      </c>
      <c r="AA836" s="58">
        <f>AC836-AB836</f>
        <v>14170000</v>
      </c>
      <c r="AB836" s="58"/>
      <c r="AC836" s="58">
        <v>14170000</v>
      </c>
      <c r="AD836" s="58">
        <f>AF836-AE836</f>
        <v>431729000</v>
      </c>
      <c r="AE836" s="58"/>
      <c r="AF836" s="58">
        <v>431729000</v>
      </c>
      <c r="AG836" s="122"/>
      <c r="AH836" s="122"/>
      <c r="AI836" s="122"/>
      <c r="AJ836" s="121">
        <f t="shared" si="742"/>
        <v>40099344</v>
      </c>
      <c r="AK836" s="66">
        <v>10034100</v>
      </c>
      <c r="AL836" s="54">
        <v>44895</v>
      </c>
      <c r="AM836" s="116">
        <v>3721</v>
      </c>
      <c r="AN836" s="42">
        <f>1159*2550</f>
        <v>2955450</v>
      </c>
      <c r="AO836" s="125">
        <f t="shared" si="700"/>
        <v>10046700</v>
      </c>
      <c r="AP836" s="59"/>
      <c r="AQ836" s="102">
        <v>38658464000000</v>
      </c>
      <c r="AR836" s="102">
        <v>788936000000</v>
      </c>
      <c r="AS836" s="102">
        <v>445878382416</v>
      </c>
      <c r="AT836" s="104">
        <v>543703178416</v>
      </c>
      <c r="AU836" s="55">
        <f t="shared" si="692"/>
        <v>89548289</v>
      </c>
      <c r="AV836" s="99">
        <f t="shared" si="701"/>
        <v>21681909454.595997</v>
      </c>
      <c r="AW836" s="43"/>
      <c r="AX836" s="43"/>
      <c r="AY836" s="43"/>
      <c r="AZ836" s="43">
        <f>SUM(AT610:AT836)</f>
        <v>46215029220996</v>
      </c>
      <c r="BA836" s="4">
        <v>563793441357.8999</v>
      </c>
      <c r="BB836" s="73">
        <f>AZ836/BA836</f>
        <v>81.97156233262811</v>
      </c>
    </row>
    <row r="837" spans="1:54" ht="15">
      <c r="A837" s="28">
        <v>44896</v>
      </c>
      <c r="B837" s="65">
        <v>99334800000</v>
      </c>
      <c r="C837" s="65">
        <v>112800140000</v>
      </c>
      <c r="D837" s="65"/>
      <c r="E837" s="65"/>
      <c r="F837" s="65">
        <f t="shared" si="744"/>
        <v>212134940000</v>
      </c>
      <c r="G837" s="65">
        <f t="shared" si="743"/>
        <v>57276434</v>
      </c>
      <c r="H837" s="58">
        <f>J837-I837</f>
        <v>9369138000</v>
      </c>
      <c r="I837" s="58">
        <v>129336000000</v>
      </c>
      <c r="J837" s="58">
        <v>138705138000</v>
      </c>
      <c r="K837" s="58"/>
      <c r="L837" s="58">
        <f>N837-M837</f>
        <v>121998000</v>
      </c>
      <c r="M837" s="58">
        <v>94387000000</v>
      </c>
      <c r="N837" s="152">
        <v>94508998000</v>
      </c>
      <c r="O837" s="58">
        <f>Q837-P837</f>
        <v>6287494000</v>
      </c>
      <c r="P837" s="58"/>
      <c r="Q837" s="58">
        <v>6287494000</v>
      </c>
      <c r="R837" s="58">
        <f>T837-S837</f>
        <v>774469000</v>
      </c>
      <c r="S837" s="58"/>
      <c r="T837" s="58">
        <v>774469000</v>
      </c>
      <c r="U837" s="58">
        <f>W837-V837</f>
        <v>219049000</v>
      </c>
      <c r="V837" s="58"/>
      <c r="W837" s="152">
        <v>219049000</v>
      </c>
      <c r="X837" s="58">
        <f>Z837-Y837</f>
        <v>376782000</v>
      </c>
      <c r="Y837" s="122"/>
      <c r="Z837" s="58">
        <v>376782000</v>
      </c>
      <c r="AA837" s="58">
        <f>AC837-AB837</f>
        <v>77934000</v>
      </c>
      <c r="AB837" s="122"/>
      <c r="AC837" s="58">
        <v>77934000</v>
      </c>
      <c r="AD837" s="58">
        <f>AF837-AE837</f>
        <v>428982000</v>
      </c>
      <c r="AE837" s="122"/>
      <c r="AF837" s="58">
        <v>428982000</v>
      </c>
      <c r="AG837" s="122"/>
      <c r="AH837" s="122"/>
      <c r="AI837" s="122"/>
      <c r="AJ837" s="121">
        <f t="shared" si="742"/>
        <v>42176971</v>
      </c>
      <c r="AK837" s="66">
        <v>8512300</v>
      </c>
      <c r="AL837" s="54">
        <v>44896</v>
      </c>
      <c r="AM837" s="116">
        <v>4313</v>
      </c>
      <c r="AN837" s="42">
        <f>1444*2550</f>
        <v>3682200</v>
      </c>
      <c r="AO837" s="125">
        <f t="shared" si="700"/>
        <v>11645100</v>
      </c>
      <c r="AP837" s="59"/>
      <c r="AQ837" s="102">
        <v>48684284000000</v>
      </c>
      <c r="AR837" s="102">
        <v>727946000000</v>
      </c>
      <c r="AS837" s="102">
        <v>466715837088</v>
      </c>
      <c r="AT837" s="104">
        <v>678850777088</v>
      </c>
      <c r="AU837" s="55">
        <f t="shared" si="692"/>
        <v>123293005</v>
      </c>
      <c r="AV837" s="99">
        <f t="shared" si="701"/>
        <v>21805202459.595997</v>
      </c>
    </row>
    <row r="838" spans="1:54" ht="15">
      <c r="A838" s="28">
        <v>44897</v>
      </c>
      <c r="B838" s="65">
        <v>232803445000</v>
      </c>
      <c r="C838" s="65">
        <v>73532390000</v>
      </c>
      <c r="D838" s="65"/>
      <c r="E838" s="65"/>
      <c r="F838" s="65">
        <f>SUM(B838:E838)</f>
        <v>306335835000</v>
      </c>
      <c r="G838" s="65">
        <f>ROUND(F838*0.027%,0)</f>
        <v>82710675</v>
      </c>
      <c r="H838" s="58">
        <f>J838-I838</f>
        <v>18896846000</v>
      </c>
      <c r="I838" s="58">
        <f>121320000000+10611000000</f>
        <v>131931000000</v>
      </c>
      <c r="J838" s="58">
        <v>150827846000</v>
      </c>
      <c r="K838" s="58"/>
      <c r="L838" s="58">
        <f>N838-M838</f>
        <v>5505357000</v>
      </c>
      <c r="M838" s="58">
        <v>4432000000</v>
      </c>
      <c r="N838" s="152">
        <v>9937357000</v>
      </c>
      <c r="O838" s="58">
        <f>Q838-P838</f>
        <v>6026381000</v>
      </c>
      <c r="P838" s="58"/>
      <c r="Q838" s="58">
        <v>6026381000</v>
      </c>
      <c r="R838" s="58">
        <f>T838-S838</f>
        <v>1016994000</v>
      </c>
      <c r="S838" s="58"/>
      <c r="T838" s="58">
        <v>1016994000</v>
      </c>
      <c r="U838" s="58">
        <f>W838-V838</f>
        <v>254339000</v>
      </c>
      <c r="V838" s="58"/>
      <c r="W838" s="152">
        <v>254339000</v>
      </c>
      <c r="X838" s="58">
        <f>Z838-Y838</f>
        <v>374727000</v>
      </c>
      <c r="Y838" s="58"/>
      <c r="Z838" s="58">
        <v>374727000</v>
      </c>
      <c r="AA838" s="58">
        <f>AC838-AB838</f>
        <v>84576000</v>
      </c>
      <c r="AB838" s="58"/>
      <c r="AC838" s="58">
        <v>84576000</v>
      </c>
      <c r="AD838" s="58">
        <f>AF838-AE838</f>
        <v>446351000</v>
      </c>
      <c r="AE838" s="58"/>
      <c r="AF838" s="58">
        <v>446351000</v>
      </c>
      <c r="AG838" s="122"/>
      <c r="AH838" s="122"/>
      <c r="AI838" s="122"/>
      <c r="AJ838" s="121">
        <f>ROUND(H838*0.0108%+I838*0.018%+K838*0.018%+L838*0.0108%+M838*0.018%+O838*0.0108%+P838*0.018%+R838*0.0108%+S838*0.018%+V838*0.018%+U838*0.0108%+X838*0.0108%+Y838*0.018%+AA838*0.0108%+AB838*0.018%+AD838*0.0108%+AE838*0.018%,0)</f>
        <v>28066742</v>
      </c>
      <c r="AK838" s="66">
        <v>8362400</v>
      </c>
      <c r="AL838" s="54">
        <v>44897</v>
      </c>
      <c r="AM838" s="116">
        <v>2537</v>
      </c>
      <c r="AN838" s="42">
        <f>3397*2550*3</f>
        <v>25987050</v>
      </c>
      <c r="AO838" s="125">
        <f>AM838*2700</f>
        <v>6849900</v>
      </c>
      <c r="AP838" s="59"/>
      <c r="AQ838" s="102">
        <v>40773994000000</v>
      </c>
      <c r="AR838" s="102">
        <v>585006000000</v>
      </c>
      <c r="AS838" s="102">
        <v>306493730561</v>
      </c>
      <c r="AT838" s="104">
        <v>612829565561</v>
      </c>
      <c r="AU838" s="55">
        <f t="shared" si="692"/>
        <v>151976767</v>
      </c>
      <c r="AV838" s="99">
        <f t="shared" ref="AV838:AV858" si="745">AV837+AU838</f>
        <v>21957179226.595997</v>
      </c>
    </row>
    <row r="839" spans="1:54" ht="15">
      <c r="A839" s="28">
        <v>44900</v>
      </c>
      <c r="B839" s="65">
        <v>25875400000</v>
      </c>
      <c r="C839" s="65">
        <v>50009020000</v>
      </c>
      <c r="D839" s="65"/>
      <c r="E839" s="65"/>
      <c r="F839" s="65">
        <f>SUM(B839:E839)</f>
        <v>75884420000</v>
      </c>
      <c r="G839" s="65">
        <f>ROUND(F839*0.027%,0)</f>
        <v>20488793</v>
      </c>
      <c r="H839" s="58">
        <f t="shared" ref="H839" si="746">J839-I839</f>
        <v>6423013000</v>
      </c>
      <c r="I839" s="58">
        <v>33874800000</v>
      </c>
      <c r="J839" s="58">
        <v>40297813000</v>
      </c>
      <c r="K839" s="58"/>
      <c r="L839" s="58">
        <f t="shared" ref="L839" si="747">N839-M839</f>
        <v>23216989000</v>
      </c>
      <c r="M839" s="152">
        <v>9422480000</v>
      </c>
      <c r="N839" s="152">
        <v>32639469000</v>
      </c>
      <c r="O839" s="58">
        <f t="shared" ref="O839" si="748">Q839-P839</f>
        <v>7057239000</v>
      </c>
      <c r="P839" s="58"/>
      <c r="Q839" s="58">
        <v>7057239000</v>
      </c>
      <c r="R839" s="58">
        <f t="shared" ref="R839" si="749">T839-S839</f>
        <v>1313602000</v>
      </c>
      <c r="S839" s="58"/>
      <c r="T839" s="58">
        <v>1313602000</v>
      </c>
      <c r="U839" s="58">
        <f t="shared" ref="U839" si="750">W839-V839</f>
        <v>155419000</v>
      </c>
      <c r="V839" s="58"/>
      <c r="W839" s="152">
        <v>155419000</v>
      </c>
      <c r="X839" s="58">
        <f t="shared" ref="X839" si="751">Z839-Y839</f>
        <v>383614000</v>
      </c>
      <c r="Y839" s="58"/>
      <c r="Z839" s="58">
        <v>383614000</v>
      </c>
      <c r="AA839" s="58">
        <f t="shared" ref="AA839" si="752">AC839-AB839</f>
        <v>488916000</v>
      </c>
      <c r="AB839" s="58"/>
      <c r="AC839" s="58">
        <v>488916000</v>
      </c>
      <c r="AD839" s="58">
        <f t="shared" ref="AD839" si="753">AF839-AE839</f>
        <v>470770000</v>
      </c>
      <c r="AE839" s="58"/>
      <c r="AF839" s="58">
        <v>470770000</v>
      </c>
      <c r="AG839" s="122"/>
      <c r="AH839" s="122"/>
      <c r="AI839" s="122"/>
      <c r="AJ839" s="121">
        <f t="shared" ref="AJ839:AJ842" si="754">ROUND(H839*0.0108%+I839*0.018%+K839*0.018%+L839*0.0108%+M839*0.018%+O839*0.0108%+P839*0.018%+R839*0.0108%+S839*0.018%+V839*0.018%+U839*0.0108%+X839*0.0108%+Y839*0.018%+AA839*0.0108%+AB839*0.018%+AD839*0.0108%+AE839*0.018%,0)</f>
        <v>12060543</v>
      </c>
      <c r="AK839" s="66">
        <v>2160200</v>
      </c>
      <c r="AL839" s="54">
        <v>44900</v>
      </c>
      <c r="AM839" s="116">
        <v>1272</v>
      </c>
      <c r="AN839" s="42">
        <f>3965*2550</f>
        <v>10110750</v>
      </c>
      <c r="AO839" s="125">
        <f>AM839*2700</f>
        <v>3434400</v>
      </c>
      <c r="AP839" s="59"/>
      <c r="AQ839" s="102">
        <v>46370380000000</v>
      </c>
      <c r="AR839" s="102">
        <v>631368000000</v>
      </c>
      <c r="AS839" s="102">
        <v>127640233527</v>
      </c>
      <c r="AT839" s="104">
        <v>203524653527</v>
      </c>
      <c r="AU839" s="55">
        <f t="shared" si="692"/>
        <v>48254686</v>
      </c>
      <c r="AV839" s="99">
        <f t="shared" si="745"/>
        <v>22005433912.595997</v>
      </c>
    </row>
    <row r="840" spans="1:54" ht="15">
      <c r="A840" s="28">
        <v>44901</v>
      </c>
      <c r="B840" s="65">
        <v>107333610000</v>
      </c>
      <c r="C840" s="65">
        <v>58829470000</v>
      </c>
      <c r="D840" s="65"/>
      <c r="E840" s="65"/>
      <c r="F840" s="65">
        <f>SUM(B840:E840)</f>
        <v>166163080000</v>
      </c>
      <c r="G840" s="65">
        <f t="shared" ref="G840:G858" si="755">ROUND(F840*0.027%,0)</f>
        <v>44864032</v>
      </c>
      <c r="H840" s="58">
        <f>J840-I840</f>
        <v>17690329000</v>
      </c>
      <c r="I840" s="58">
        <v>97781400000</v>
      </c>
      <c r="J840" s="58">
        <v>115471729000</v>
      </c>
      <c r="K840" s="58"/>
      <c r="L840" s="58">
        <f>N840-M840</f>
        <v>42272277000</v>
      </c>
      <c r="M840" s="152">
        <v>38313050000</v>
      </c>
      <c r="N840" s="152">
        <v>80585327000</v>
      </c>
      <c r="O840" s="58">
        <f>Q840-P840</f>
        <v>2663387000</v>
      </c>
      <c r="P840" s="58"/>
      <c r="Q840" s="58">
        <v>2663387000</v>
      </c>
      <c r="R840" s="58">
        <f>T840-S840</f>
        <v>624985000</v>
      </c>
      <c r="S840" s="58"/>
      <c r="T840" s="58">
        <v>624985000</v>
      </c>
      <c r="U840" s="58">
        <f>W840-V840</f>
        <v>139754000</v>
      </c>
      <c r="V840" s="58"/>
      <c r="W840" s="152">
        <v>139754000</v>
      </c>
      <c r="X840" s="58">
        <f>Z840-Y840</f>
        <v>352864000</v>
      </c>
      <c r="Y840" s="58"/>
      <c r="Z840" s="58">
        <v>352864000</v>
      </c>
      <c r="AA840" s="58">
        <f>AC840-AB840</f>
        <v>131149000</v>
      </c>
      <c r="AB840" s="58"/>
      <c r="AC840" s="58">
        <v>131149000</v>
      </c>
      <c r="AD840" s="58">
        <f>AF840-AE840</f>
        <v>468201000</v>
      </c>
      <c r="AE840" s="58"/>
      <c r="AF840" s="58">
        <v>468201000</v>
      </c>
      <c r="AG840" s="122"/>
      <c r="AH840" s="122"/>
      <c r="AI840" s="122"/>
      <c r="AJ840" s="121">
        <f t="shared" si="754"/>
        <v>31446039</v>
      </c>
      <c r="AK840" s="66">
        <v>6902700</v>
      </c>
      <c r="AL840" s="54">
        <v>44901</v>
      </c>
      <c r="AM840" s="116">
        <v>1739</v>
      </c>
      <c r="AN840" s="42">
        <f>4838*2550</f>
        <v>12336900</v>
      </c>
      <c r="AO840" s="125">
        <f>AM840*2700</f>
        <v>4695300</v>
      </c>
      <c r="AP840" s="59"/>
      <c r="AQ840" s="102">
        <v>53959746000000</v>
      </c>
      <c r="AR840" s="102">
        <v>721208000000</v>
      </c>
      <c r="AS840" s="102">
        <v>337712748363</v>
      </c>
      <c r="AT840" s="104">
        <v>503875828363</v>
      </c>
      <c r="AU840" s="55">
        <f t="shared" si="692"/>
        <v>100244971</v>
      </c>
      <c r="AV840" s="99">
        <f t="shared" si="745"/>
        <v>22105678883.595997</v>
      </c>
    </row>
    <row r="841" spans="1:54" ht="15">
      <c r="A841" s="28">
        <v>44902</v>
      </c>
      <c r="B841" s="65">
        <v>63004265000</v>
      </c>
      <c r="C841" s="65"/>
      <c r="D841" s="65"/>
      <c r="E841" s="65"/>
      <c r="F841" s="65">
        <f t="shared" ref="F841:F842" si="756">SUM(B841:E841)</f>
        <v>63004265000</v>
      </c>
      <c r="G841" s="65">
        <f t="shared" si="755"/>
        <v>17011152</v>
      </c>
      <c r="H841" s="58">
        <f>J841-I841</f>
        <v>10126012000</v>
      </c>
      <c r="I841" s="58">
        <v>30380700000</v>
      </c>
      <c r="J841" s="58">
        <v>40506712000</v>
      </c>
      <c r="K841" s="58"/>
      <c r="L841" s="58">
        <f>N841-M841</f>
        <v>39090733000</v>
      </c>
      <c r="M841" s="152">
        <v>6670000000</v>
      </c>
      <c r="N841" s="152">
        <v>45760733000</v>
      </c>
      <c r="O841" s="58">
        <f>Q841-P841</f>
        <v>5053213000</v>
      </c>
      <c r="P841" s="58"/>
      <c r="Q841" s="58">
        <v>5053213000</v>
      </c>
      <c r="R841" s="58">
        <f>T841-S841</f>
        <v>3821146000</v>
      </c>
      <c r="S841" s="58"/>
      <c r="T841" s="58">
        <v>3821146000</v>
      </c>
      <c r="U841" s="58">
        <f>W841-V841</f>
        <v>155128000</v>
      </c>
      <c r="V841" s="58"/>
      <c r="W841" s="152">
        <v>155128000</v>
      </c>
      <c r="X841" s="58">
        <f>Z841-Y841</f>
        <v>358587000</v>
      </c>
      <c r="Y841" s="58">
        <v>6829000000</v>
      </c>
      <c r="Z841" s="58">
        <v>7187587000</v>
      </c>
      <c r="AA841" s="58">
        <f>AC841-AB841</f>
        <v>60821000</v>
      </c>
      <c r="AB841" s="58"/>
      <c r="AC841" s="58">
        <v>60821000</v>
      </c>
      <c r="AD841" s="58">
        <f>AF841-AE841</f>
        <v>436561000</v>
      </c>
      <c r="AE841" s="58"/>
      <c r="AF841" s="58">
        <v>436561000</v>
      </c>
      <c r="AG841" s="122"/>
      <c r="AH841" s="122"/>
      <c r="AI841" s="122"/>
      <c r="AJ841" s="121">
        <f t="shared" si="754"/>
        <v>14281384</v>
      </c>
      <c r="AK841" s="66">
        <v>4339600</v>
      </c>
      <c r="AL841" s="54">
        <v>44902</v>
      </c>
      <c r="AM841" s="116">
        <v>608</v>
      </c>
      <c r="AN841" s="42">
        <f>4346*2550</f>
        <v>11082300</v>
      </c>
      <c r="AO841" s="125">
        <f>AM841*2700</f>
        <v>1641600</v>
      </c>
      <c r="AP841" s="59"/>
      <c r="AQ841" s="102">
        <v>32457924000000</v>
      </c>
      <c r="AR841" s="102">
        <v>316364000000</v>
      </c>
      <c r="AS841" s="102">
        <v>148025707761</v>
      </c>
      <c r="AT841" s="104">
        <v>211029972761</v>
      </c>
      <c r="AU841" s="55">
        <f t="shared" si="692"/>
        <v>48356036</v>
      </c>
      <c r="AV841" s="99">
        <f t="shared" si="745"/>
        <v>22154034919.595997</v>
      </c>
    </row>
    <row r="842" spans="1:54" ht="15">
      <c r="A842" s="28">
        <v>44903</v>
      </c>
      <c r="B842" s="65">
        <v>141902630000</v>
      </c>
      <c r="C842" s="65"/>
      <c r="D842" s="65"/>
      <c r="E842" s="65"/>
      <c r="F842" s="65">
        <f t="shared" si="756"/>
        <v>141902630000</v>
      </c>
      <c r="G842" s="65">
        <f t="shared" si="755"/>
        <v>38313710</v>
      </c>
      <c r="H842" s="58">
        <f>J842-I842</f>
        <v>3208636000</v>
      </c>
      <c r="I842" s="58">
        <v>108741100000</v>
      </c>
      <c r="J842" s="58">
        <v>111949736000</v>
      </c>
      <c r="K842" s="58"/>
      <c r="L842" s="58">
        <f>N842-M842</f>
        <v>25090514000</v>
      </c>
      <c r="M842" s="58">
        <f>4431000000+9244000000</f>
        <v>13675000000</v>
      </c>
      <c r="N842" s="152">
        <v>38765514000</v>
      </c>
      <c r="O842" s="58">
        <f>Q842-P842</f>
        <v>2712099000</v>
      </c>
      <c r="P842" s="58"/>
      <c r="Q842" s="58">
        <v>2712099000</v>
      </c>
      <c r="R842" s="58">
        <f>T842-S842</f>
        <v>629235000</v>
      </c>
      <c r="S842" s="58"/>
      <c r="T842" s="58">
        <v>629235000</v>
      </c>
      <c r="U842" s="58">
        <f>W842-V842</f>
        <v>125252000</v>
      </c>
      <c r="V842" s="58"/>
      <c r="W842" s="152">
        <v>125252000</v>
      </c>
      <c r="X842" s="58">
        <f>Z842-Y842</f>
        <v>423893000</v>
      </c>
      <c r="Y842" s="122"/>
      <c r="Z842" s="58">
        <v>423893000</v>
      </c>
      <c r="AA842" s="58">
        <f>AC842-AB842</f>
        <v>196318000</v>
      </c>
      <c r="AB842" s="122"/>
      <c r="AC842" s="58">
        <v>196318000</v>
      </c>
      <c r="AD842" s="58">
        <f>AF842-AE842</f>
        <v>455189000</v>
      </c>
      <c r="AE842" s="122"/>
      <c r="AF842" s="58">
        <v>455189000</v>
      </c>
      <c r="AG842" s="122"/>
      <c r="AH842" s="122"/>
      <c r="AI842" s="122"/>
      <c r="AJ842" s="121">
        <f t="shared" si="754"/>
        <v>25581741</v>
      </c>
      <c r="AK842" s="66">
        <v>7022500</v>
      </c>
      <c r="AL842" s="54">
        <v>44903</v>
      </c>
      <c r="AM842" s="116">
        <v>931</v>
      </c>
      <c r="AN842" s="42">
        <f>4517*2550</f>
        <v>11518350</v>
      </c>
      <c r="AO842" s="125">
        <f>AM842*2700</f>
        <v>2513700</v>
      </c>
      <c r="AP842" s="59"/>
      <c r="AQ842" s="102">
        <v>34658446000000</v>
      </c>
      <c r="AR842" s="102">
        <v>583382000000</v>
      </c>
      <c r="AS842" s="102">
        <v>278872676879</v>
      </c>
      <c r="AT842" s="104">
        <v>420775306879</v>
      </c>
      <c r="AU842" s="55">
        <f t="shared" si="692"/>
        <v>84950001</v>
      </c>
      <c r="AV842" s="99">
        <f t="shared" si="745"/>
        <v>22238984920.595997</v>
      </c>
    </row>
    <row r="843" spans="1:54" ht="15">
      <c r="A843" s="28">
        <v>44904</v>
      </c>
      <c r="B843" s="65">
        <v>178265965000</v>
      </c>
      <c r="C843" s="65">
        <v>0</v>
      </c>
      <c r="D843" s="65">
        <v>0</v>
      </c>
      <c r="E843" s="65">
        <v>0</v>
      </c>
      <c r="F843" s="65">
        <v>178265965000</v>
      </c>
      <c r="G843" s="65">
        <v>48131811</v>
      </c>
      <c r="H843" s="58">
        <v>2605321000</v>
      </c>
      <c r="I843" s="58">
        <v>49131700000</v>
      </c>
      <c r="J843" s="58">
        <v>51737021000</v>
      </c>
      <c r="K843" s="58"/>
      <c r="L843" s="58">
        <v>415919000</v>
      </c>
      <c r="M843" s="58">
        <v>13782500000</v>
      </c>
      <c r="N843" s="58">
        <v>14198419000</v>
      </c>
      <c r="O843" s="58">
        <v>680352000</v>
      </c>
      <c r="P843" s="58"/>
      <c r="Q843" s="58">
        <v>680352000</v>
      </c>
      <c r="R843" s="58">
        <v>670921000</v>
      </c>
      <c r="S843" s="58"/>
      <c r="T843" s="58">
        <v>670921000</v>
      </c>
      <c r="U843" s="58">
        <v>55525000</v>
      </c>
      <c r="V843" s="58"/>
      <c r="W843" s="58">
        <v>55525000</v>
      </c>
      <c r="X843" s="58">
        <v>410495000</v>
      </c>
      <c r="Y843" s="58"/>
      <c r="Z843" s="58">
        <v>410495000</v>
      </c>
      <c r="AA843" s="58">
        <v>50386000</v>
      </c>
      <c r="AB843" s="58"/>
      <c r="AC843" s="58">
        <v>50386000</v>
      </c>
      <c r="AD843" s="58">
        <v>461306000</v>
      </c>
      <c r="AE843" s="58"/>
      <c r="AF843" s="58">
        <v>461306000</v>
      </c>
      <c r="AG843" s="122"/>
      <c r="AH843" s="122"/>
      <c r="AI843" s="122"/>
      <c r="AJ843" s="121">
        <v>11902380</v>
      </c>
      <c r="AK843" s="66">
        <v>1433010</v>
      </c>
      <c r="AL843" s="54">
        <v>44904</v>
      </c>
      <c r="AM843" s="116">
        <v>1713</v>
      </c>
      <c r="AN843" s="42">
        <v>34746300</v>
      </c>
      <c r="AO843" s="125">
        <v>4625100</v>
      </c>
      <c r="AP843" s="59"/>
      <c r="AQ843" s="102">
        <v>30787762000000</v>
      </c>
      <c r="AR843" s="102">
        <v>205267374000</v>
      </c>
      <c r="AS843" s="102">
        <v>132422073484</v>
      </c>
      <c r="AT843" s="104">
        <v>310688038484</v>
      </c>
      <c r="AU843" s="55">
        <f t="shared" si="692"/>
        <v>100838601</v>
      </c>
      <c r="AV843" s="99">
        <f t="shared" si="745"/>
        <v>22339823521.595997</v>
      </c>
    </row>
    <row r="844" spans="1:54" ht="15">
      <c r="A844" s="28">
        <v>44907</v>
      </c>
      <c r="B844" s="65">
        <v>105277635000</v>
      </c>
      <c r="C844" s="65">
        <v>19703805000</v>
      </c>
      <c r="D844" s="65">
        <v>8384230000</v>
      </c>
      <c r="E844" s="65">
        <v>0</v>
      </c>
      <c r="F844" s="65">
        <v>133365670000</v>
      </c>
      <c r="G844" s="65">
        <v>36008731</v>
      </c>
      <c r="H844" s="58"/>
      <c r="I844" s="58"/>
      <c r="J844" s="58">
        <v>0</v>
      </c>
      <c r="K844" s="58"/>
      <c r="L844" s="58">
        <v>15821151000</v>
      </c>
      <c r="M844" s="152"/>
      <c r="N844" s="58">
        <v>15821151000</v>
      </c>
      <c r="O844" s="58">
        <v>295861000</v>
      </c>
      <c r="P844" s="58"/>
      <c r="Q844" s="58">
        <v>295861000</v>
      </c>
      <c r="R844" s="58">
        <v>897667000</v>
      </c>
      <c r="S844" s="58"/>
      <c r="T844" s="58">
        <v>897667000</v>
      </c>
      <c r="U844" s="58">
        <v>73626000</v>
      </c>
      <c r="V844" s="58"/>
      <c r="W844" s="58">
        <v>73626000</v>
      </c>
      <c r="X844" s="58">
        <v>369124000</v>
      </c>
      <c r="Y844" s="58">
        <v>8382700000</v>
      </c>
      <c r="Z844" s="58">
        <v>8751824000</v>
      </c>
      <c r="AA844" s="58">
        <v>88815000</v>
      </c>
      <c r="AB844" s="58"/>
      <c r="AC844" s="58">
        <v>88815000</v>
      </c>
      <c r="AD844" s="58">
        <v>493114000</v>
      </c>
      <c r="AE844" s="58"/>
      <c r="AF844" s="58">
        <v>493114000</v>
      </c>
      <c r="AG844" s="122"/>
      <c r="AH844" s="122"/>
      <c r="AI844" s="122"/>
      <c r="AJ844" s="121">
        <v>3457137</v>
      </c>
      <c r="AK844" s="66">
        <v>1332180</v>
      </c>
      <c r="AL844" s="54">
        <v>44907</v>
      </c>
      <c r="AM844" s="116">
        <v>1199</v>
      </c>
      <c r="AN844" s="42">
        <v>9784350</v>
      </c>
      <c r="AO844" s="125">
        <v>3237300</v>
      </c>
      <c r="AP844" s="59"/>
      <c r="AQ844" s="102">
        <v>37343979960200</v>
      </c>
      <c r="AR844" s="102">
        <v>134692000000</v>
      </c>
      <c r="AS844" s="102">
        <v>35997557202</v>
      </c>
      <c r="AT844" s="104">
        <v>169363227202</v>
      </c>
      <c r="AU844" s="55">
        <f t="shared" si="692"/>
        <v>53819698</v>
      </c>
      <c r="AV844" s="99">
        <f t="shared" si="745"/>
        <v>22393643219.595997</v>
      </c>
    </row>
    <row r="845" spans="1:54" ht="15">
      <c r="A845" s="28">
        <v>44908</v>
      </c>
      <c r="B845" s="65">
        <v>109899940000</v>
      </c>
      <c r="C845" s="65">
        <v>22888900000</v>
      </c>
      <c r="D845" s="65">
        <v>0</v>
      </c>
      <c r="E845" s="65">
        <v>0</v>
      </c>
      <c r="F845" s="65">
        <v>132788840000</v>
      </c>
      <c r="G845" s="65">
        <v>35852987</v>
      </c>
      <c r="H845" s="58">
        <v>9328876000</v>
      </c>
      <c r="I845" s="58">
        <v>45981300000</v>
      </c>
      <c r="J845" s="58">
        <v>55310176000</v>
      </c>
      <c r="K845" s="58"/>
      <c r="L845" s="58">
        <v>28834602000</v>
      </c>
      <c r="M845" s="152">
        <v>6743500000</v>
      </c>
      <c r="N845" s="58">
        <v>35578102000</v>
      </c>
      <c r="O845" s="58">
        <v>5070181000</v>
      </c>
      <c r="P845" s="58"/>
      <c r="Q845" s="58">
        <v>5070181000</v>
      </c>
      <c r="R845" s="58">
        <v>921205000</v>
      </c>
      <c r="S845" s="58"/>
      <c r="T845" s="58">
        <v>921205000</v>
      </c>
      <c r="U845" s="58">
        <v>32132000</v>
      </c>
      <c r="V845" s="58"/>
      <c r="W845" s="58">
        <v>32132000</v>
      </c>
      <c r="X845" s="58">
        <v>420141000</v>
      </c>
      <c r="Y845" s="58"/>
      <c r="Z845" s="58">
        <v>420141000</v>
      </c>
      <c r="AA845" s="58">
        <v>177879000</v>
      </c>
      <c r="AB845" s="58"/>
      <c r="AC845" s="58">
        <v>177879000</v>
      </c>
      <c r="AD845" s="58">
        <v>440426000</v>
      </c>
      <c r="AE845" s="58"/>
      <c r="AF845" s="58">
        <v>440426000</v>
      </c>
      <c r="AG845" s="122"/>
      <c r="AH845" s="122"/>
      <c r="AI845" s="122"/>
      <c r="AJ845" s="121">
        <v>14374812</v>
      </c>
      <c r="AK845" s="66">
        <v>1492410</v>
      </c>
      <c r="AL845" s="54">
        <v>44908</v>
      </c>
      <c r="AM845" s="116">
        <v>2274</v>
      </c>
      <c r="AN845" s="42">
        <v>9835350</v>
      </c>
      <c r="AO845" s="125">
        <v>6139800</v>
      </c>
      <c r="AP845" s="59"/>
      <c r="AQ845" s="102">
        <v>30325546335400</v>
      </c>
      <c r="AR845" s="102">
        <v>313243300000</v>
      </c>
      <c r="AS845" s="102">
        <v>151970838948</v>
      </c>
      <c r="AT845" s="104">
        <v>284759678948</v>
      </c>
      <c r="AU845" s="55">
        <f t="shared" si="692"/>
        <v>67695359</v>
      </c>
      <c r="AV845" s="99">
        <f t="shared" si="745"/>
        <v>22461338578.595997</v>
      </c>
    </row>
    <row r="846" spans="1:54" ht="15">
      <c r="A846" s="28">
        <v>44909</v>
      </c>
      <c r="B846" s="65">
        <v>97636630000</v>
      </c>
      <c r="C846" s="65">
        <v>0</v>
      </c>
      <c r="D846" s="65">
        <v>0</v>
      </c>
      <c r="E846" s="65">
        <v>0</v>
      </c>
      <c r="F846" s="65">
        <v>97636630000</v>
      </c>
      <c r="G846" s="65">
        <v>26361890</v>
      </c>
      <c r="H846" s="58">
        <v>257889000</v>
      </c>
      <c r="I846" s="58">
        <v>39589000000</v>
      </c>
      <c r="J846" s="58">
        <v>39846889000</v>
      </c>
      <c r="K846" s="58"/>
      <c r="L846" s="58">
        <v>24305443000</v>
      </c>
      <c r="M846" s="152">
        <v>18394500000</v>
      </c>
      <c r="N846" s="58">
        <v>42699943000</v>
      </c>
      <c r="O846" s="58">
        <v>5856391000</v>
      </c>
      <c r="P846" s="58"/>
      <c r="Q846" s="58">
        <v>5856391000</v>
      </c>
      <c r="R846" s="58">
        <v>606628000</v>
      </c>
      <c r="S846" s="58"/>
      <c r="T846" s="58">
        <v>606628000</v>
      </c>
      <c r="U846" s="58">
        <v>26262000</v>
      </c>
      <c r="V846" s="58"/>
      <c r="W846" s="58">
        <v>26262000</v>
      </c>
      <c r="X846" s="58">
        <v>407065000</v>
      </c>
      <c r="Y846" s="58"/>
      <c r="Z846" s="58">
        <v>407065000</v>
      </c>
      <c r="AA846" s="58">
        <v>19352000</v>
      </c>
      <c r="AB846" s="58"/>
      <c r="AC846" s="58">
        <v>19352000</v>
      </c>
      <c r="AD846" s="58">
        <v>441238000</v>
      </c>
      <c r="AE846" s="58"/>
      <c r="AF846" s="58">
        <v>441238000</v>
      </c>
      <c r="AG846" s="122"/>
      <c r="AH846" s="122"/>
      <c r="AI846" s="122"/>
      <c r="AJ846" s="121">
        <v>13884419</v>
      </c>
      <c r="AK846" s="66">
        <v>1363770</v>
      </c>
      <c r="AL846" s="54">
        <v>44909</v>
      </c>
      <c r="AM846" s="116">
        <v>3352</v>
      </c>
      <c r="AN846" s="42">
        <v>9748650</v>
      </c>
      <c r="AO846" s="125">
        <v>9050400</v>
      </c>
      <c r="AP846" s="59"/>
      <c r="AQ846" s="102">
        <v>30982567009000</v>
      </c>
      <c r="AR846" s="102">
        <v>244000420000</v>
      </c>
      <c r="AS846" s="102">
        <v>149079952949</v>
      </c>
      <c r="AT846" s="104">
        <v>246716582949</v>
      </c>
      <c r="AU846" s="55">
        <f t="shared" si="692"/>
        <v>60409129</v>
      </c>
      <c r="AV846" s="99">
        <f t="shared" si="745"/>
        <v>22521747707.595997</v>
      </c>
    </row>
    <row r="847" spans="1:54" ht="15">
      <c r="A847" s="28">
        <v>44910</v>
      </c>
      <c r="B847" s="65">
        <v>71436160000.719986</v>
      </c>
      <c r="C847" s="65">
        <v>23987225000</v>
      </c>
      <c r="D847" s="65">
        <v>0</v>
      </c>
      <c r="E847" s="65">
        <v>0</v>
      </c>
      <c r="F847" s="65">
        <v>95423385000.719986</v>
      </c>
      <c r="G847" s="65">
        <v>25764314</v>
      </c>
      <c r="H847" s="58"/>
      <c r="I847" s="58">
        <v>14576200000</v>
      </c>
      <c r="J847" s="58">
        <v>14576200000</v>
      </c>
      <c r="K847" s="58"/>
      <c r="L847" s="58">
        <v>14402096000</v>
      </c>
      <c r="M847" s="58">
        <v>23250600000</v>
      </c>
      <c r="N847" s="58">
        <v>37652696000</v>
      </c>
      <c r="O847" s="58">
        <v>9563367000</v>
      </c>
      <c r="P847" s="58"/>
      <c r="Q847" s="58">
        <v>9563367000</v>
      </c>
      <c r="R847" s="58">
        <v>2554269000</v>
      </c>
      <c r="S847" s="58"/>
      <c r="T847" s="58">
        <v>2554269000</v>
      </c>
      <c r="U847" s="58">
        <v>124438000</v>
      </c>
      <c r="V847" s="58"/>
      <c r="W847" s="58">
        <v>124438000</v>
      </c>
      <c r="X847" s="58">
        <v>384850000</v>
      </c>
      <c r="Y847" s="122">
        <v>15334200000</v>
      </c>
      <c r="Z847" s="58">
        <v>15719050000</v>
      </c>
      <c r="AA847" s="58">
        <v>8390000</v>
      </c>
      <c r="AB847" s="122"/>
      <c r="AC847" s="58">
        <v>8390000</v>
      </c>
      <c r="AD847" s="58">
        <v>440500000</v>
      </c>
      <c r="AE847" s="122"/>
      <c r="AF847" s="58">
        <v>440500000</v>
      </c>
      <c r="AG847" s="122"/>
      <c r="AH847" s="122"/>
      <c r="AI847" s="122"/>
      <c r="AJ847" s="121">
        <v>12536594</v>
      </c>
      <c r="AK847" s="66">
        <v>1029480</v>
      </c>
      <c r="AL847" s="54">
        <v>44910</v>
      </c>
      <c r="AM847" s="116">
        <v>1960</v>
      </c>
      <c r="AN847" s="42">
        <v>10921650</v>
      </c>
      <c r="AO847" s="125">
        <v>5292000</v>
      </c>
      <c r="AP847" s="59"/>
      <c r="AQ847" s="102">
        <v>27787332110800</v>
      </c>
      <c r="AR847" s="102">
        <v>244044560000</v>
      </c>
      <c r="AS847" s="102">
        <v>135041070782</v>
      </c>
      <c r="AT847" s="104">
        <v>230464455782.71997</v>
      </c>
      <c r="AU847" s="55">
        <f t="shared" si="692"/>
        <v>55544038</v>
      </c>
      <c r="AV847" s="99">
        <f t="shared" si="745"/>
        <v>22577291745.595997</v>
      </c>
    </row>
    <row r="848" spans="1:54" ht="15">
      <c r="A848" s="28">
        <v>44911</v>
      </c>
      <c r="B848" s="65">
        <v>46762799999.989998</v>
      </c>
      <c r="C848" s="65">
        <v>16098590000</v>
      </c>
      <c r="D848" s="65">
        <v>0</v>
      </c>
      <c r="E848" s="65">
        <v>0</v>
      </c>
      <c r="F848" s="65">
        <v>62861389999.989998</v>
      </c>
      <c r="G848" s="65">
        <v>16972575</v>
      </c>
      <c r="H848" s="58">
        <v>725956000</v>
      </c>
      <c r="I848" s="58">
        <v>12773300000</v>
      </c>
      <c r="J848" s="58">
        <v>13499256000</v>
      </c>
      <c r="K848" s="58"/>
      <c r="L848" s="58">
        <v>48800260000</v>
      </c>
      <c r="M848" s="58">
        <v>34946600000</v>
      </c>
      <c r="N848" s="58">
        <v>83746860000</v>
      </c>
      <c r="O848" s="58">
        <v>1735004000</v>
      </c>
      <c r="P848" s="58">
        <v>0</v>
      </c>
      <c r="Q848" s="58">
        <v>1735004000</v>
      </c>
      <c r="R848" s="58">
        <v>524142000</v>
      </c>
      <c r="S848" s="58">
        <v>0</v>
      </c>
      <c r="T848" s="58">
        <v>524142000</v>
      </c>
      <c r="U848" s="58">
        <v>75070000</v>
      </c>
      <c r="V848" s="58">
        <v>0</v>
      </c>
      <c r="W848" s="58">
        <v>75070000</v>
      </c>
      <c r="X848" s="58">
        <v>352500000</v>
      </c>
      <c r="Y848" s="58">
        <v>0</v>
      </c>
      <c r="Z848" s="58">
        <v>352500000</v>
      </c>
      <c r="AA848" s="58">
        <v>27746000</v>
      </c>
      <c r="AB848" s="58">
        <v>0</v>
      </c>
      <c r="AC848" s="58">
        <v>27746000</v>
      </c>
      <c r="AD848" s="58">
        <v>448048000</v>
      </c>
      <c r="AE848" s="58">
        <v>0</v>
      </c>
      <c r="AF848" s="58">
        <v>448048000</v>
      </c>
      <c r="AG848" s="122"/>
      <c r="AH848" s="122"/>
      <c r="AI848" s="122"/>
      <c r="AJ848" s="121">
        <v>14279964</v>
      </c>
      <c r="AK848" s="66">
        <v>862320</v>
      </c>
      <c r="AL848" s="54">
        <v>44911</v>
      </c>
      <c r="AM848" s="116">
        <v>1033</v>
      </c>
      <c r="AN848" s="42">
        <v>31869900</v>
      </c>
      <c r="AO848" s="125">
        <v>2789100</v>
      </c>
      <c r="AP848" s="59"/>
      <c r="AQ848" s="102">
        <v>34701699804000</v>
      </c>
      <c r="AR848" s="102">
        <v>287576522000</v>
      </c>
      <c r="AS848" s="102">
        <v>149396469631</v>
      </c>
      <c r="AT848" s="104">
        <v>212257859630.98999</v>
      </c>
      <c r="AU848" s="55">
        <f t="shared" si="692"/>
        <v>66773859</v>
      </c>
      <c r="AV848" s="99">
        <f t="shared" si="745"/>
        <v>22644065604.595997</v>
      </c>
    </row>
    <row r="849" spans="1:48" ht="15">
      <c r="A849" s="28">
        <v>44914</v>
      </c>
      <c r="B849" s="65">
        <v>136831105000</v>
      </c>
      <c r="C849" s="65">
        <v>0</v>
      </c>
      <c r="D849" s="65">
        <v>0</v>
      </c>
      <c r="E849" s="65">
        <v>6097275000</v>
      </c>
      <c r="F849" s="65">
        <v>142928380000</v>
      </c>
      <c r="G849" s="65">
        <v>38590663</v>
      </c>
      <c r="H849" s="58">
        <v>9164810000</v>
      </c>
      <c r="I849" s="58">
        <v>66838600000</v>
      </c>
      <c r="J849" s="58">
        <v>76003410000</v>
      </c>
      <c r="K849" s="58"/>
      <c r="L849" s="58">
        <v>17112109000</v>
      </c>
      <c r="M849" s="58">
        <v>4665200000</v>
      </c>
      <c r="N849" s="58">
        <v>21777309000</v>
      </c>
      <c r="O849" s="58">
        <v>697741000</v>
      </c>
      <c r="P849" s="58">
        <v>0</v>
      </c>
      <c r="Q849" s="58">
        <v>697741000</v>
      </c>
      <c r="R849" s="58">
        <v>874624000</v>
      </c>
      <c r="S849" s="58">
        <v>0</v>
      </c>
      <c r="T849" s="58">
        <v>874624000</v>
      </c>
      <c r="U849" s="58">
        <v>110477000</v>
      </c>
      <c r="V849" s="58">
        <v>0</v>
      </c>
      <c r="W849" s="58">
        <v>110477000</v>
      </c>
      <c r="X849" s="58">
        <v>382432000</v>
      </c>
      <c r="Y849" s="58">
        <v>34295000000</v>
      </c>
      <c r="Z849" s="58">
        <v>34677432000</v>
      </c>
      <c r="AA849" s="58">
        <v>582943000</v>
      </c>
      <c r="AB849" s="58">
        <v>0</v>
      </c>
      <c r="AC849" s="58">
        <v>582943000</v>
      </c>
      <c r="AD849" s="58">
        <v>448500000</v>
      </c>
      <c r="AE849" s="58">
        <v>0</v>
      </c>
      <c r="AF849" s="58">
        <v>448500000</v>
      </c>
      <c r="AG849" s="122"/>
      <c r="AH849" s="122"/>
      <c r="AI849" s="122"/>
      <c r="AJ849" s="121">
        <v>22216137</v>
      </c>
      <c r="AK849" s="66">
        <v>2793090</v>
      </c>
      <c r="AL849" s="54">
        <v>44914</v>
      </c>
      <c r="AM849" s="116">
        <v>1311</v>
      </c>
      <c r="AN849" s="42">
        <v>9412050</v>
      </c>
      <c r="AO849" s="125">
        <v>3539700</v>
      </c>
      <c r="AP849" s="59"/>
      <c r="AQ849" s="102">
        <v>36319521444428</v>
      </c>
      <c r="AR849" s="102">
        <v>673012550000</v>
      </c>
      <c r="AS849" s="102">
        <v>242178671655</v>
      </c>
      <c r="AT849" s="104">
        <v>385107051655</v>
      </c>
      <c r="AU849" s="55">
        <f t="shared" si="692"/>
        <v>76551640</v>
      </c>
      <c r="AV849" s="99">
        <f t="shared" si="745"/>
        <v>22720617244.595997</v>
      </c>
    </row>
    <row r="850" spans="1:48" ht="15">
      <c r="A850" s="28">
        <v>44915</v>
      </c>
      <c r="B850" s="65">
        <v>139498069000</v>
      </c>
      <c r="C850" s="65">
        <v>0</v>
      </c>
      <c r="D850" s="65">
        <v>7918040000</v>
      </c>
      <c r="E850" s="65">
        <v>0</v>
      </c>
      <c r="F850" s="65">
        <v>147416109000</v>
      </c>
      <c r="G850" s="65">
        <v>39802349</v>
      </c>
      <c r="H850" s="58">
        <v>12354543000</v>
      </c>
      <c r="I850" s="58">
        <v>31578000000</v>
      </c>
      <c r="J850" s="58">
        <v>43932543000</v>
      </c>
      <c r="K850" s="58"/>
      <c r="L850" s="58">
        <v>9857648000</v>
      </c>
      <c r="M850" s="58">
        <v>11175000000</v>
      </c>
      <c r="N850" s="58">
        <v>21032648000</v>
      </c>
      <c r="O850" s="58">
        <v>1124690000</v>
      </c>
      <c r="P850" s="58">
        <v>0</v>
      </c>
      <c r="Q850" s="58">
        <v>1124690000</v>
      </c>
      <c r="R850" s="58">
        <v>944360000</v>
      </c>
      <c r="S850" s="58">
        <v>0</v>
      </c>
      <c r="T850" s="58">
        <v>944360000</v>
      </c>
      <c r="U850" s="58">
        <v>112749000</v>
      </c>
      <c r="V850" s="58">
        <v>0</v>
      </c>
      <c r="W850" s="58">
        <v>112749000</v>
      </c>
      <c r="X850" s="58">
        <v>357910000</v>
      </c>
      <c r="Y850" s="58">
        <v>0</v>
      </c>
      <c r="Z850" s="58">
        <v>357910000</v>
      </c>
      <c r="AA850" s="58">
        <v>1727548000</v>
      </c>
      <c r="AB850" s="58">
        <v>0</v>
      </c>
      <c r="AC850" s="58">
        <v>1727548000</v>
      </c>
      <c r="AD850" s="58">
        <v>444082000</v>
      </c>
      <c r="AE850" s="58">
        <v>0</v>
      </c>
      <c r="AF850" s="58">
        <v>444082000</v>
      </c>
      <c r="AG850" s="122"/>
      <c r="AH850" s="122"/>
      <c r="AI850" s="122"/>
      <c r="AJ850" s="121">
        <v>10603281</v>
      </c>
      <c r="AK850" s="66">
        <v>774510</v>
      </c>
      <c r="AL850" s="54">
        <v>44915</v>
      </c>
      <c r="AM850" s="116">
        <v>1853</v>
      </c>
      <c r="AN850" s="42">
        <v>10863000</v>
      </c>
      <c r="AO850" s="125">
        <v>5003100</v>
      </c>
      <c r="AP850" s="59"/>
      <c r="AQ850" s="102">
        <v>39798765623230</v>
      </c>
      <c r="AR850" s="102">
        <v>196914296000</v>
      </c>
      <c r="AS850" s="102">
        <v>113579637217</v>
      </c>
      <c r="AT850" s="104">
        <v>260995746217</v>
      </c>
      <c r="AU850" s="55">
        <f t="shared" si="692"/>
        <v>67046240</v>
      </c>
      <c r="AV850" s="99">
        <f t="shared" si="745"/>
        <v>22787663484.595997</v>
      </c>
    </row>
    <row r="851" spans="1:48" ht="15">
      <c r="A851" s="28">
        <v>44916</v>
      </c>
      <c r="B851" s="65">
        <v>55708900000</v>
      </c>
      <c r="C851" s="65">
        <v>0</v>
      </c>
      <c r="D851" s="65">
        <v>0</v>
      </c>
      <c r="E851" s="65">
        <v>14755270000</v>
      </c>
      <c r="F851" s="65">
        <v>70464170000</v>
      </c>
      <c r="G851" s="65">
        <v>19025326</v>
      </c>
      <c r="H851" s="58">
        <v>12052313000</v>
      </c>
      <c r="I851" s="58">
        <v>31552400000</v>
      </c>
      <c r="J851" s="58">
        <v>43604713000</v>
      </c>
      <c r="K851" s="58"/>
      <c r="L851" s="58">
        <v>13270092000</v>
      </c>
      <c r="M851" s="58">
        <v>6745500000</v>
      </c>
      <c r="N851" s="58">
        <v>20015592000</v>
      </c>
      <c r="O851" s="58">
        <v>6004878000</v>
      </c>
      <c r="P851" s="58">
        <v>0</v>
      </c>
      <c r="Q851" s="58">
        <v>6004878000</v>
      </c>
      <c r="R851" s="58">
        <v>736189000</v>
      </c>
      <c r="S851" s="58">
        <v>0</v>
      </c>
      <c r="T851" s="58">
        <v>736189000</v>
      </c>
      <c r="U851" s="58">
        <v>27797000</v>
      </c>
      <c r="V851" s="58">
        <v>0</v>
      </c>
      <c r="W851" s="58">
        <v>27797000</v>
      </c>
      <c r="X851" s="58">
        <v>344529000</v>
      </c>
      <c r="Y851" s="58">
        <v>0</v>
      </c>
      <c r="Z851" s="58">
        <v>344529000</v>
      </c>
      <c r="AA851" s="58">
        <v>57409000</v>
      </c>
      <c r="AB851" s="58">
        <v>0</v>
      </c>
      <c r="AC851" s="58">
        <v>57409000</v>
      </c>
      <c r="AD851" s="58">
        <v>433351000</v>
      </c>
      <c r="AE851" s="58">
        <v>0</v>
      </c>
      <c r="AF851" s="58">
        <v>433351000</v>
      </c>
      <c r="AG851" s="122"/>
      <c r="AH851" s="122"/>
      <c r="AI851" s="122"/>
      <c r="AJ851" s="121">
        <v>10449690</v>
      </c>
      <c r="AK851" s="66">
        <v>730410</v>
      </c>
      <c r="AL851" s="54">
        <v>44916</v>
      </c>
      <c r="AM851" s="116">
        <v>998</v>
      </c>
      <c r="AN851" s="42">
        <v>11082300</v>
      </c>
      <c r="AO851" s="125">
        <v>2694600</v>
      </c>
      <c r="AP851" s="59"/>
      <c r="AQ851" s="102">
        <v>32852666593832</v>
      </c>
      <c r="AR851" s="102">
        <v>228641898000</v>
      </c>
      <c r="AS851" s="102">
        <v>110755595611</v>
      </c>
      <c r="AT851" s="104">
        <v>181219765611</v>
      </c>
      <c r="AU851" s="55">
        <f t="shared" si="692"/>
        <v>43982326</v>
      </c>
      <c r="AV851" s="99">
        <f t="shared" si="745"/>
        <v>22831645810.595997</v>
      </c>
    </row>
    <row r="852" spans="1:48" ht="15">
      <c r="A852" s="28">
        <v>44917</v>
      </c>
      <c r="B852" s="65">
        <v>91617360000</v>
      </c>
      <c r="C852" s="65">
        <v>62972709350</v>
      </c>
      <c r="D852" s="65">
        <v>0</v>
      </c>
      <c r="E852" s="65">
        <v>0</v>
      </c>
      <c r="F852" s="65">
        <v>154590069350</v>
      </c>
      <c r="G852" s="65">
        <v>41739319</v>
      </c>
      <c r="H852" s="58">
        <v>3772251000</v>
      </c>
      <c r="I852" s="58">
        <v>14160000000</v>
      </c>
      <c r="J852" s="58">
        <v>17932251000</v>
      </c>
      <c r="K852" s="58"/>
      <c r="L852" s="58">
        <v>1583615000</v>
      </c>
      <c r="M852" s="58">
        <v>6764000000</v>
      </c>
      <c r="N852" s="58">
        <v>8347615000</v>
      </c>
      <c r="O852" s="58">
        <v>1697392000</v>
      </c>
      <c r="P852" s="58">
        <v>0</v>
      </c>
      <c r="Q852" s="58">
        <v>1697392000</v>
      </c>
      <c r="R852" s="58">
        <v>452948000</v>
      </c>
      <c r="S852" s="58">
        <v>0</v>
      </c>
      <c r="T852" s="58">
        <v>452948000</v>
      </c>
      <c r="U852" s="58">
        <v>167821000</v>
      </c>
      <c r="V852" s="58">
        <v>0</v>
      </c>
      <c r="W852" s="58">
        <v>167821000</v>
      </c>
      <c r="X852" s="58">
        <v>339705000</v>
      </c>
      <c r="Y852" s="58">
        <v>0</v>
      </c>
      <c r="Z852" s="58">
        <v>339705000</v>
      </c>
      <c r="AA852" s="58">
        <v>32647000</v>
      </c>
      <c r="AB852" s="58">
        <v>0</v>
      </c>
      <c r="AC852" s="58">
        <v>32647000</v>
      </c>
      <c r="AD852" s="58">
        <v>443881000</v>
      </c>
      <c r="AE852" s="58">
        <v>0</v>
      </c>
      <c r="AF852" s="58">
        <v>443881000</v>
      </c>
      <c r="AG852" s="122"/>
      <c r="AH852" s="122"/>
      <c r="AI852" s="122"/>
      <c r="AJ852" s="121">
        <v>4683268</v>
      </c>
      <c r="AK852" s="66">
        <v>780330</v>
      </c>
      <c r="AL852" s="54">
        <v>44917</v>
      </c>
      <c r="AM852" s="116">
        <v>1390</v>
      </c>
      <c r="AN852" s="42">
        <v>9450300</v>
      </c>
      <c r="AO852" s="125">
        <v>3753000</v>
      </c>
      <c r="AP852" s="59"/>
      <c r="AQ852" s="102">
        <v>28428991811634</v>
      </c>
      <c r="AR852" s="102">
        <v>169281921200</v>
      </c>
      <c r="AS852" s="102">
        <v>51564515026</v>
      </c>
      <c r="AT852" s="104">
        <v>202531779376.94</v>
      </c>
      <c r="AU852" s="55">
        <f t="shared" si="692"/>
        <v>60406217</v>
      </c>
      <c r="AV852" s="99">
        <f t="shared" si="745"/>
        <v>22892052027.595997</v>
      </c>
    </row>
    <row r="853" spans="1:48" ht="15">
      <c r="A853" s="28">
        <v>44918</v>
      </c>
      <c r="B853" s="65">
        <v>133639105000</v>
      </c>
      <c r="C853" s="65">
        <v>60772860000</v>
      </c>
      <c r="D853" s="65">
        <v>0</v>
      </c>
      <c r="E853" s="65">
        <v>0</v>
      </c>
      <c r="F853" s="65">
        <v>194411965000</v>
      </c>
      <c r="G853" s="65">
        <v>52491231</v>
      </c>
      <c r="H853" s="58">
        <v>10423637000</v>
      </c>
      <c r="I853" s="58">
        <v>35191500000</v>
      </c>
      <c r="J853" s="58">
        <v>45615137000</v>
      </c>
      <c r="K853" s="58"/>
      <c r="L853" s="58">
        <v>4239804000</v>
      </c>
      <c r="M853" s="58">
        <v>2256000000</v>
      </c>
      <c r="N853" s="58">
        <v>6495804000</v>
      </c>
      <c r="O853" s="58">
        <v>7641336000</v>
      </c>
      <c r="P853" s="58">
        <v>0</v>
      </c>
      <c r="Q853" s="58">
        <v>7641336000</v>
      </c>
      <c r="R853" s="58">
        <v>1626823000</v>
      </c>
      <c r="S853" s="58">
        <v>0</v>
      </c>
      <c r="T853" s="58">
        <v>1626823000</v>
      </c>
      <c r="U853" s="58">
        <v>71401000</v>
      </c>
      <c r="V853" s="58">
        <v>0</v>
      </c>
      <c r="W853" s="58">
        <v>71401000</v>
      </c>
      <c r="X853" s="58">
        <v>340695000</v>
      </c>
      <c r="Y853" s="58">
        <v>0</v>
      </c>
      <c r="Z853" s="58">
        <v>340695000</v>
      </c>
      <c r="AA853" s="58">
        <v>92957000</v>
      </c>
      <c r="AB853" s="58">
        <v>0</v>
      </c>
      <c r="AC853" s="58">
        <v>92957000</v>
      </c>
      <c r="AD853" s="58">
        <v>457956000</v>
      </c>
      <c r="AE853" s="58">
        <v>0</v>
      </c>
      <c r="AF853" s="58">
        <v>457956000</v>
      </c>
      <c r="AG853" s="122"/>
      <c r="AH853" s="122"/>
      <c r="AI853" s="122"/>
      <c r="AJ853" s="121">
        <v>9429168</v>
      </c>
      <c r="AK853" s="66">
        <v>962610</v>
      </c>
      <c r="AL853" s="54">
        <v>44911</v>
      </c>
      <c r="AM853" s="116">
        <v>1873</v>
      </c>
      <c r="AN853" s="42">
        <v>25711650</v>
      </c>
      <c r="AO853" s="125">
        <v>5057100</v>
      </c>
      <c r="AP853" s="59"/>
      <c r="AQ853" s="102">
        <v>20379703270236</v>
      </c>
      <c r="AR853" s="102">
        <v>287460352000</v>
      </c>
      <c r="AS853" s="102">
        <v>100948489000</v>
      </c>
      <c r="AT853" s="102">
        <v>295360454000</v>
      </c>
      <c r="AU853" s="55">
        <f t="shared" si="692"/>
        <v>93651759</v>
      </c>
      <c r="AV853" s="99">
        <f t="shared" si="745"/>
        <v>22985703786.595997</v>
      </c>
    </row>
    <row r="854" spans="1:48" ht="15">
      <c r="A854" s="28">
        <v>44921</v>
      </c>
      <c r="B854" s="65">
        <v>157112670000</v>
      </c>
      <c r="C854" s="65">
        <v>0</v>
      </c>
      <c r="D854" s="65">
        <v>0</v>
      </c>
      <c r="E854" s="65">
        <v>0</v>
      </c>
      <c r="F854" s="65">
        <v>157112670000</v>
      </c>
      <c r="G854" s="65">
        <v>42420421</v>
      </c>
      <c r="H854" s="58">
        <v>339390000</v>
      </c>
      <c r="I854" s="58">
        <v>43328300000</v>
      </c>
      <c r="J854" s="58">
        <v>43667690000</v>
      </c>
      <c r="K854" s="58"/>
      <c r="L854" s="58">
        <v>2050144000</v>
      </c>
      <c r="M854" s="58">
        <v>6631500000</v>
      </c>
      <c r="N854" s="58">
        <v>8681644000</v>
      </c>
      <c r="O854" s="58">
        <v>955936000</v>
      </c>
      <c r="P854" s="58">
        <v>0</v>
      </c>
      <c r="Q854" s="58">
        <v>955936000</v>
      </c>
      <c r="R854" s="58">
        <v>1021040000</v>
      </c>
      <c r="S854" s="58">
        <v>0</v>
      </c>
      <c r="T854" s="58">
        <v>1021040000</v>
      </c>
      <c r="U854" s="58">
        <v>84252000</v>
      </c>
      <c r="V854" s="58">
        <v>0</v>
      </c>
      <c r="W854" s="58">
        <v>84252000</v>
      </c>
      <c r="X854" s="58">
        <v>338642000</v>
      </c>
      <c r="Y854" s="58">
        <v>0</v>
      </c>
      <c r="Z854" s="58">
        <v>338642000</v>
      </c>
      <c r="AA854" s="58">
        <v>62700000</v>
      </c>
      <c r="AB854" s="58">
        <v>0</v>
      </c>
      <c r="AC854" s="58">
        <v>62700000</v>
      </c>
      <c r="AD854" s="58">
        <v>429202000</v>
      </c>
      <c r="AE854" s="58">
        <v>0</v>
      </c>
      <c r="AF854" s="58">
        <v>429202000</v>
      </c>
      <c r="AG854" s="122"/>
      <c r="AH854" s="122"/>
      <c r="AI854" s="122"/>
      <c r="AJ854" s="121">
        <v>9563145</v>
      </c>
      <c r="AK854" s="66">
        <v>979950</v>
      </c>
      <c r="AL854" s="54">
        <v>44914</v>
      </c>
      <c r="AM854" s="116">
        <v>1163</v>
      </c>
      <c r="AN854" s="42">
        <v>9674700</v>
      </c>
      <c r="AO854" s="125">
        <v>3140100</v>
      </c>
      <c r="AP854" s="59"/>
      <c r="AQ854" s="102">
        <v>23816863625842</v>
      </c>
      <c r="AR854" s="102">
        <v>131996062000</v>
      </c>
      <c r="AS854" s="102">
        <v>106349506000</v>
      </c>
      <c r="AT854" s="102">
        <v>263462176000</v>
      </c>
      <c r="AU854" s="55">
        <f t="shared" si="692"/>
        <v>65778316</v>
      </c>
      <c r="AV854" s="99">
        <f t="shared" si="745"/>
        <v>23051482102.595997</v>
      </c>
    </row>
    <row r="855" spans="1:48" ht="15">
      <c r="A855" s="28">
        <v>44922</v>
      </c>
      <c r="B855" s="65">
        <v>120207799800</v>
      </c>
      <c r="C855" s="65">
        <v>0</v>
      </c>
      <c r="D855" s="65">
        <v>7717810000</v>
      </c>
      <c r="E855" s="65">
        <v>0</v>
      </c>
      <c r="F855" s="65">
        <v>127925609800</v>
      </c>
      <c r="G855" s="65">
        <v>34539915</v>
      </c>
      <c r="H855" s="58">
        <v>4956149000</v>
      </c>
      <c r="I855" s="58">
        <v>33904700000</v>
      </c>
      <c r="J855" s="58">
        <v>38860849000</v>
      </c>
      <c r="K855" s="58"/>
      <c r="L855" s="58">
        <v>12549856000</v>
      </c>
      <c r="M855" s="58">
        <v>39180100000</v>
      </c>
      <c r="N855" s="58">
        <v>51729956000</v>
      </c>
      <c r="O855" s="58">
        <v>3957722000</v>
      </c>
      <c r="P855" s="58">
        <v>0</v>
      </c>
      <c r="Q855" s="58">
        <v>3957722000</v>
      </c>
      <c r="R855" s="58">
        <v>856669000</v>
      </c>
      <c r="S855" s="58">
        <v>0</v>
      </c>
      <c r="T855" s="58">
        <v>856669000</v>
      </c>
      <c r="U855" s="58">
        <v>177073000</v>
      </c>
      <c r="V855" s="58">
        <v>0</v>
      </c>
      <c r="W855" s="58">
        <v>177073000</v>
      </c>
      <c r="X855" s="58">
        <v>330395000</v>
      </c>
      <c r="Y855" s="58">
        <v>0</v>
      </c>
      <c r="Z855" s="58">
        <v>330395000</v>
      </c>
      <c r="AA855" s="58">
        <v>173853000</v>
      </c>
      <c r="AB855" s="58">
        <v>0</v>
      </c>
      <c r="AC855" s="58">
        <v>173853000</v>
      </c>
      <c r="AD855" s="58">
        <v>421346000</v>
      </c>
      <c r="AE855" s="58">
        <v>0</v>
      </c>
      <c r="AF855" s="58">
        <v>421346000</v>
      </c>
      <c r="AG855" s="122"/>
      <c r="AH855" s="122"/>
      <c r="AI855" s="122"/>
      <c r="AJ855" s="121">
        <v>15684955</v>
      </c>
      <c r="AK855" s="66">
        <v>1652940</v>
      </c>
      <c r="AL855" s="54">
        <v>44915</v>
      </c>
      <c r="AM855" s="116">
        <v>1503</v>
      </c>
      <c r="AN855" s="42">
        <v>9350850</v>
      </c>
      <c r="AO855" s="125">
        <v>4058100</v>
      </c>
      <c r="AP855" s="59"/>
      <c r="AQ855" s="102">
        <v>22750704889844</v>
      </c>
      <c r="AR855" s="102">
        <v>263234404000</v>
      </c>
      <c r="AS855" s="102">
        <v>170722163000</v>
      </c>
      <c r="AT855" s="102">
        <v>298647772800</v>
      </c>
      <c r="AU855" s="55">
        <f t="shared" si="692"/>
        <v>65286760</v>
      </c>
      <c r="AV855" s="99">
        <f t="shared" si="745"/>
        <v>23116768862.595997</v>
      </c>
    </row>
    <row r="856" spans="1:48" ht="15">
      <c r="A856" s="28">
        <v>44923</v>
      </c>
      <c r="B856" s="65">
        <v>53986045000</v>
      </c>
      <c r="C856" s="65">
        <v>0</v>
      </c>
      <c r="D856" s="65">
        <v>0</v>
      </c>
      <c r="E856" s="65">
        <v>0</v>
      </c>
      <c r="F856" s="65">
        <v>53986045000</v>
      </c>
      <c r="G856" s="65">
        <v>14576232</v>
      </c>
      <c r="H856" s="58">
        <v>2563634000</v>
      </c>
      <c r="I856" s="58">
        <v>44519400000</v>
      </c>
      <c r="J856" s="58">
        <v>47083034000</v>
      </c>
      <c r="K856" s="58"/>
      <c r="L856" s="58">
        <v>8298822000</v>
      </c>
      <c r="M856" s="58">
        <v>46027500000</v>
      </c>
      <c r="N856" s="58">
        <v>54326322000</v>
      </c>
      <c r="O856" s="58">
        <v>3939042000</v>
      </c>
      <c r="P856" s="58">
        <v>0</v>
      </c>
      <c r="Q856" s="58">
        <v>3939042000</v>
      </c>
      <c r="R856" s="58">
        <v>334908000</v>
      </c>
      <c r="S856" s="58">
        <v>0</v>
      </c>
      <c r="T856" s="58">
        <v>334908000</v>
      </c>
      <c r="U856" s="58">
        <v>19890000</v>
      </c>
      <c r="V856" s="58">
        <v>0</v>
      </c>
      <c r="W856" s="58">
        <v>19890000</v>
      </c>
      <c r="X856" s="58">
        <v>5260000</v>
      </c>
      <c r="Y856" s="58">
        <v>6595000000</v>
      </c>
      <c r="Z856" s="58">
        <v>6600260000</v>
      </c>
      <c r="AA856" s="58">
        <v>189923000</v>
      </c>
      <c r="AB856" s="58">
        <v>0</v>
      </c>
      <c r="AC856" s="58">
        <v>189923000</v>
      </c>
      <c r="AD856" s="58">
        <v>852000</v>
      </c>
      <c r="AE856" s="58">
        <v>0</v>
      </c>
      <c r="AF856" s="58">
        <v>852000</v>
      </c>
      <c r="AG856" s="122"/>
      <c r="AH856" s="122"/>
      <c r="AI856" s="122"/>
      <c r="AJ856" s="121">
        <v>19143594</v>
      </c>
      <c r="AK856" s="66">
        <v>1579620</v>
      </c>
      <c r="AL856" s="54">
        <v>44916</v>
      </c>
      <c r="AM856" s="116">
        <v>901</v>
      </c>
      <c r="AN856" s="42">
        <v>7660200</v>
      </c>
      <c r="AO856" s="125">
        <v>2432700</v>
      </c>
      <c r="AP856" s="59"/>
      <c r="AQ856" s="102">
        <v>24863268893046</v>
      </c>
      <c r="AR856" s="102">
        <v>278039392000</v>
      </c>
      <c r="AS856" s="102">
        <v>203161599000</v>
      </c>
      <c r="AT856" s="102">
        <v>257147644000</v>
      </c>
      <c r="AU856" s="55">
        <f t="shared" si="692"/>
        <v>45392346</v>
      </c>
      <c r="AV856" s="99">
        <f t="shared" si="745"/>
        <v>23162161208.595997</v>
      </c>
    </row>
    <row r="857" spans="1:48" ht="15">
      <c r="A857" s="28">
        <v>44924</v>
      </c>
      <c r="B857" s="65">
        <v>107032310000</v>
      </c>
      <c r="C857" s="65">
        <v>25700810000</v>
      </c>
      <c r="D857" s="65">
        <v>0</v>
      </c>
      <c r="E857" s="65">
        <v>0</v>
      </c>
      <c r="F857" s="65">
        <v>132733120000</v>
      </c>
      <c r="G857" s="65">
        <v>35837942</v>
      </c>
      <c r="H857" s="58">
        <v>570065000</v>
      </c>
      <c r="I857" s="58">
        <v>25847700000</v>
      </c>
      <c r="J857" s="58">
        <v>26417765000</v>
      </c>
      <c r="K857" s="58"/>
      <c r="L857" s="58">
        <v>3787528000</v>
      </c>
      <c r="M857" s="58">
        <v>13284500000</v>
      </c>
      <c r="N857" s="58">
        <v>17072028000</v>
      </c>
      <c r="O857" s="58">
        <v>4390459000</v>
      </c>
      <c r="P857" s="58">
        <v>0</v>
      </c>
      <c r="Q857" s="58">
        <v>4390459000</v>
      </c>
      <c r="R857" s="58">
        <v>493726000</v>
      </c>
      <c r="S857" s="58">
        <v>0</v>
      </c>
      <c r="T857" s="58">
        <v>493726000</v>
      </c>
      <c r="U857" s="58">
        <v>39976000</v>
      </c>
      <c r="V857" s="58">
        <v>0</v>
      </c>
      <c r="W857" s="58">
        <v>39976000</v>
      </c>
      <c r="X857" s="58">
        <v>331070000</v>
      </c>
      <c r="Y857" s="58">
        <v>0</v>
      </c>
      <c r="Z857" s="58">
        <v>331070000</v>
      </c>
      <c r="AA857" s="58">
        <v>67284000</v>
      </c>
      <c r="AB857" s="58">
        <v>0</v>
      </c>
      <c r="AC857" s="58">
        <v>67284000</v>
      </c>
      <c r="AD857" s="58">
        <v>441751000</v>
      </c>
      <c r="AE857" s="58">
        <v>0</v>
      </c>
      <c r="AF857" s="58">
        <v>441751000</v>
      </c>
      <c r="AG857" s="122"/>
      <c r="AH857" s="122"/>
      <c r="AI857" s="122"/>
      <c r="AJ857" s="121">
        <v>8136957</v>
      </c>
      <c r="AK857" s="66">
        <v>1155150</v>
      </c>
      <c r="AL857" s="54">
        <v>44917</v>
      </c>
      <c r="AM857" s="116">
        <v>1357</v>
      </c>
      <c r="AN857" s="42">
        <v>5729850</v>
      </c>
      <c r="AO857" s="125">
        <v>3663900</v>
      </c>
      <c r="AP857" s="59"/>
      <c r="AQ857" s="102">
        <v>18413168829448</v>
      </c>
      <c r="AR857" s="102">
        <v>154617654000</v>
      </c>
      <c r="AS857" s="102">
        <v>89527259000</v>
      </c>
      <c r="AT857" s="102">
        <v>222260379000</v>
      </c>
      <c r="AU857" s="55">
        <f t="shared" si="692"/>
        <v>54523799</v>
      </c>
      <c r="AV857" s="99">
        <f t="shared" si="745"/>
        <v>23216685007.595997</v>
      </c>
    </row>
    <row r="858" spans="1:48" ht="15">
      <c r="A858" s="28">
        <v>44925</v>
      </c>
      <c r="B858" s="65">
        <v>150967264350.94</v>
      </c>
      <c r="C858" s="65">
        <v>87994555000.940002</v>
      </c>
      <c r="D858" s="65">
        <v>62972709350</v>
      </c>
      <c r="E858" s="65">
        <v>0</v>
      </c>
      <c r="F858" s="65">
        <v>0</v>
      </c>
      <c r="G858" s="65">
        <f t="shared" si="755"/>
        <v>0</v>
      </c>
      <c r="H858" s="58">
        <v>196676000</v>
      </c>
      <c r="I858" s="58">
        <v>15502600000</v>
      </c>
      <c r="J858" s="58">
        <v>15699276000</v>
      </c>
      <c r="K858" s="58"/>
      <c r="L858" s="58">
        <v>2156546000</v>
      </c>
      <c r="M858" s="58">
        <v>15495500000</v>
      </c>
      <c r="N858" s="58">
        <v>17652046000</v>
      </c>
      <c r="O858" s="58">
        <v>352796000</v>
      </c>
      <c r="P858" s="58">
        <v>0</v>
      </c>
      <c r="Q858" s="58">
        <v>352796000</v>
      </c>
      <c r="R858" s="58">
        <v>582639000</v>
      </c>
      <c r="S858" s="58">
        <v>0</v>
      </c>
      <c r="T858" s="58">
        <v>582639000</v>
      </c>
      <c r="U858" s="58">
        <v>53507000</v>
      </c>
      <c r="V858" s="58">
        <v>0</v>
      </c>
      <c r="W858" s="58">
        <v>53507000</v>
      </c>
      <c r="X858" s="58">
        <v>344242000</v>
      </c>
      <c r="Y858" s="58">
        <v>0</v>
      </c>
      <c r="Z858" s="58">
        <v>344242000</v>
      </c>
      <c r="AA858" s="58">
        <v>13616000</v>
      </c>
      <c r="AB858" s="58">
        <v>0</v>
      </c>
      <c r="AC858" s="58">
        <v>13616000</v>
      </c>
      <c r="AD858" s="58">
        <v>427386000</v>
      </c>
      <c r="AE858" s="58">
        <v>0</v>
      </c>
      <c r="AF858" s="58">
        <v>427386000</v>
      </c>
      <c r="AG858" s="122"/>
      <c r="AH858" s="122"/>
      <c r="AI858" s="122"/>
      <c r="AJ858" s="121">
        <v>6025418</v>
      </c>
      <c r="AK858" s="66"/>
      <c r="AL858" s="54">
        <v>44917</v>
      </c>
      <c r="AM858" s="116">
        <v>1473</v>
      </c>
      <c r="AN858" s="42">
        <v>9011700</v>
      </c>
      <c r="AO858" s="125">
        <v>3977100</v>
      </c>
      <c r="AP858" s="59"/>
      <c r="AQ858" s="102">
        <v>17231919387850</v>
      </c>
      <c r="AR858" s="102">
        <v>98167022000</v>
      </c>
      <c r="AS858" s="102">
        <v>67263008000</v>
      </c>
      <c r="AT858" s="102">
        <v>176394733000</v>
      </c>
      <c r="AU858" s="55">
        <f t="shared" si="692"/>
        <v>19014218</v>
      </c>
      <c r="AV858" s="99">
        <f t="shared" si="745"/>
        <v>23235699225.595997</v>
      </c>
    </row>
    <row r="859" spans="1:48" ht="15">
      <c r="A859" s="28">
        <v>44929</v>
      </c>
      <c r="B859" s="65">
        <v>168980000000</v>
      </c>
      <c r="C859" s="65">
        <v>25894220000</v>
      </c>
      <c r="D859" s="65">
        <v>0</v>
      </c>
      <c r="E859" s="65">
        <v>0</v>
      </c>
      <c r="F859" s="65">
        <v>194874220000</v>
      </c>
      <c r="G859" s="65">
        <v>52616039</v>
      </c>
      <c r="H859" s="58">
        <v>134580000</v>
      </c>
      <c r="I859" s="58">
        <v>43548700000</v>
      </c>
      <c r="J859" s="58">
        <v>43683280000</v>
      </c>
      <c r="K859" s="58"/>
      <c r="L859" s="58">
        <v>11285092000</v>
      </c>
      <c r="M859" s="58">
        <v>31387500000</v>
      </c>
      <c r="N859" s="58">
        <v>42672592000</v>
      </c>
      <c r="O859" s="58">
        <v>419720000</v>
      </c>
      <c r="P859" s="58">
        <v>0</v>
      </c>
      <c r="Q859" s="58">
        <v>419720000</v>
      </c>
      <c r="R859" s="58">
        <v>793426000</v>
      </c>
      <c r="S859" s="58">
        <v>0</v>
      </c>
      <c r="T859" s="58">
        <v>793426000</v>
      </c>
      <c r="U859" s="58">
        <v>15182000</v>
      </c>
      <c r="V859" s="58">
        <v>0</v>
      </c>
      <c r="W859" s="58">
        <v>15182000</v>
      </c>
      <c r="X859" s="58">
        <v>338032000</v>
      </c>
      <c r="Y859" s="58">
        <v>0</v>
      </c>
      <c r="Z859" s="58">
        <v>338032000</v>
      </c>
      <c r="AA859" s="58">
        <v>123291000</v>
      </c>
      <c r="AB859" s="58">
        <v>0</v>
      </c>
      <c r="AC859" s="58">
        <v>123291000</v>
      </c>
      <c r="AD859" s="58">
        <v>433660000</v>
      </c>
      <c r="AE859" s="58">
        <v>0</v>
      </c>
      <c r="AF859" s="58">
        <v>433660000</v>
      </c>
      <c r="AG859" s="122"/>
      <c r="AH859" s="122"/>
      <c r="AI859" s="122"/>
      <c r="AJ859" s="121">
        <v>14951158</v>
      </c>
      <c r="AK859" s="66">
        <v>1661220</v>
      </c>
      <c r="AL859" s="54">
        <v>44917</v>
      </c>
      <c r="AM859" s="116">
        <v>2617</v>
      </c>
      <c r="AN859" s="42">
        <v>4699650</v>
      </c>
      <c r="AO859" s="125">
        <v>7065900</v>
      </c>
      <c r="AP859" s="59"/>
      <c r="AQ859" s="102">
        <v>21073241537258</v>
      </c>
      <c r="AR859" s="102">
        <v>196893454000</v>
      </c>
      <c r="AS859" s="102">
        <v>164569683000</v>
      </c>
      <c r="AT859" s="102">
        <v>359443903000</v>
      </c>
      <c r="AU859" s="55">
        <f t="shared" si="692"/>
        <v>80993967</v>
      </c>
      <c r="AV859" s="99">
        <f t="shared" ref="AV859:AV876" si="757">AV858+AU859</f>
        <v>23316693192.595997</v>
      </c>
    </row>
    <row r="860" spans="1:48" ht="15">
      <c r="A860" s="28">
        <v>44930</v>
      </c>
      <c r="B860" s="65">
        <v>40697110000</v>
      </c>
      <c r="C860" s="65">
        <v>0</v>
      </c>
      <c r="D860" s="65">
        <v>0</v>
      </c>
      <c r="E860" s="65">
        <v>0</v>
      </c>
      <c r="F860" s="65">
        <v>40697110000</v>
      </c>
      <c r="G860" s="65">
        <v>10988220</v>
      </c>
      <c r="H860" s="58">
        <v>227576000</v>
      </c>
      <c r="I860" s="58">
        <v>12531000000</v>
      </c>
      <c r="J860" s="58">
        <v>12758576000</v>
      </c>
      <c r="K860" s="58"/>
      <c r="L860" s="58">
        <v>29362040000</v>
      </c>
      <c r="M860" s="58">
        <v>4605000000</v>
      </c>
      <c r="N860" s="58">
        <v>33967040000</v>
      </c>
      <c r="O860" s="58">
        <v>4399999000</v>
      </c>
      <c r="P860" s="58">
        <v>1510000000</v>
      </c>
      <c r="Q860" s="58">
        <v>5909999000</v>
      </c>
      <c r="R860" s="58">
        <v>944927000</v>
      </c>
      <c r="S860" s="58">
        <v>0</v>
      </c>
      <c r="T860" s="58">
        <v>944927000</v>
      </c>
      <c r="U860" s="58">
        <v>72348000</v>
      </c>
      <c r="V860" s="58">
        <v>0</v>
      </c>
      <c r="W860" s="58">
        <v>72348000</v>
      </c>
      <c r="X860" s="58">
        <v>390876000</v>
      </c>
      <c r="Y860" s="58">
        <v>0</v>
      </c>
      <c r="Z860" s="58">
        <v>390876000</v>
      </c>
      <c r="AA860" s="58">
        <v>230026000</v>
      </c>
      <c r="AB860" s="58">
        <v>0</v>
      </c>
      <c r="AC860" s="58">
        <v>230026000</v>
      </c>
      <c r="AD860" s="58">
        <v>448415000</v>
      </c>
      <c r="AE860" s="58">
        <v>0</v>
      </c>
      <c r="AF860" s="58">
        <v>448415000</v>
      </c>
      <c r="AG860" s="122"/>
      <c r="AH860" s="122"/>
      <c r="AI860" s="122"/>
      <c r="AJ860" s="121">
        <v>7252510</v>
      </c>
      <c r="AK860" s="66">
        <v>500910</v>
      </c>
      <c r="AL860" s="54">
        <v>44917</v>
      </c>
      <c r="AM860" s="116">
        <v>517</v>
      </c>
      <c r="AN860" s="42">
        <v>4845000</v>
      </c>
      <c r="AO860" s="125">
        <v>1395900</v>
      </c>
      <c r="AP860" s="59"/>
      <c r="AQ860" s="102">
        <v>24397370561860</v>
      </c>
      <c r="AR860" s="102">
        <v>242152314000</v>
      </c>
      <c r="AS860" s="102">
        <v>71535107000</v>
      </c>
      <c r="AT860" s="102">
        <v>112232217000</v>
      </c>
      <c r="AU860" s="55">
        <f t="shared" si="692"/>
        <v>24982540</v>
      </c>
      <c r="AV860" s="99">
        <f t="shared" si="757"/>
        <v>23341675732.595997</v>
      </c>
    </row>
    <row r="861" spans="1:48" ht="15">
      <c r="A861" s="28">
        <v>44931</v>
      </c>
      <c r="B861" s="65">
        <v>71695155000</v>
      </c>
      <c r="C861" s="65">
        <v>15744635000</v>
      </c>
      <c r="D861" s="65">
        <v>0</v>
      </c>
      <c r="E861" s="65">
        <v>0</v>
      </c>
      <c r="F861" s="65">
        <v>87439790000</v>
      </c>
      <c r="G861" s="65">
        <v>23608743</v>
      </c>
      <c r="H861" s="58">
        <v>224349000</v>
      </c>
      <c r="I861" s="58">
        <v>28752400000</v>
      </c>
      <c r="J861" s="58">
        <v>28976749000</v>
      </c>
      <c r="K861" s="58"/>
      <c r="L861" s="58">
        <v>15507929000</v>
      </c>
      <c r="M861" s="58">
        <v>25387000000</v>
      </c>
      <c r="N861" s="58">
        <v>40894929000</v>
      </c>
      <c r="O861" s="58">
        <v>181788000</v>
      </c>
      <c r="P861" s="58">
        <v>0</v>
      </c>
      <c r="Q861" s="58">
        <v>181788000</v>
      </c>
      <c r="R861" s="58">
        <v>950597000</v>
      </c>
      <c r="S861" s="58">
        <v>0</v>
      </c>
      <c r="T861" s="58">
        <v>950597000</v>
      </c>
      <c r="U861" s="58">
        <v>13228000</v>
      </c>
      <c r="V861" s="58">
        <v>0</v>
      </c>
      <c r="W861" s="58">
        <v>13228000</v>
      </c>
      <c r="X861" s="58">
        <v>345880000</v>
      </c>
      <c r="Y861" s="58">
        <v>0</v>
      </c>
      <c r="Z861" s="58">
        <v>345880000</v>
      </c>
      <c r="AA861" s="58">
        <v>22703000</v>
      </c>
      <c r="AB861" s="58">
        <v>0</v>
      </c>
      <c r="AC861" s="58">
        <v>22703000</v>
      </c>
      <c r="AD861" s="58">
        <v>448416000</v>
      </c>
      <c r="AE861" s="58">
        <v>0</v>
      </c>
      <c r="AF861" s="58">
        <v>448416000</v>
      </c>
      <c r="AG861" s="122"/>
      <c r="AH861" s="122"/>
      <c r="AI861" s="122"/>
      <c r="AJ861" s="121">
        <v>11656140</v>
      </c>
      <c r="AK861" s="66">
        <v>712590</v>
      </c>
      <c r="AL861" s="54">
        <v>44917</v>
      </c>
      <c r="AM861" s="116">
        <v>985</v>
      </c>
      <c r="AN861" s="42">
        <v>6382650</v>
      </c>
      <c r="AO861" s="125">
        <v>2659500</v>
      </c>
      <c r="AP861" s="59"/>
      <c r="AQ861" s="102">
        <v>20673662292662</v>
      </c>
      <c r="AR861" s="102">
        <v>234915538000</v>
      </c>
      <c r="AS861" s="102">
        <v>127162790000</v>
      </c>
      <c r="AT861" s="102">
        <v>214602580000</v>
      </c>
      <c r="AU861" s="55">
        <f t="shared" si="692"/>
        <v>45019623</v>
      </c>
      <c r="AV861" s="99">
        <f t="shared" si="757"/>
        <v>23386695355.595997</v>
      </c>
    </row>
    <row r="862" spans="1:48" ht="15">
      <c r="A862" s="28">
        <v>44932</v>
      </c>
      <c r="B862" s="56">
        <v>94224600000</v>
      </c>
      <c r="C862" s="56">
        <v>0</v>
      </c>
      <c r="D862" s="56">
        <v>8238805000</v>
      </c>
      <c r="E862" s="56">
        <v>0</v>
      </c>
      <c r="F862" s="56">
        <v>102463405000</v>
      </c>
      <c r="G862" s="65">
        <v>27665119</v>
      </c>
      <c r="H862" s="58">
        <v>8292340000</v>
      </c>
      <c r="I862" s="58">
        <v>36735760000</v>
      </c>
      <c r="J862" s="58">
        <v>45028100000</v>
      </c>
      <c r="K862" s="58"/>
      <c r="L862" s="58">
        <v>29681859000</v>
      </c>
      <c r="M862" s="58">
        <v>4636000000</v>
      </c>
      <c r="N862" s="58">
        <v>34317859000</v>
      </c>
      <c r="O862" s="58">
        <v>3491985000</v>
      </c>
      <c r="P862" s="58">
        <v>0</v>
      </c>
      <c r="Q862" s="58">
        <v>3491985000</v>
      </c>
      <c r="R862" s="58">
        <v>1373817000</v>
      </c>
      <c r="S862" s="58">
        <v>0</v>
      </c>
      <c r="T862" s="58">
        <v>1373817000</v>
      </c>
      <c r="U862" s="58">
        <v>112610000</v>
      </c>
      <c r="V862" s="58">
        <v>0</v>
      </c>
      <c r="W862" s="58">
        <v>112610000</v>
      </c>
      <c r="X862" s="58">
        <v>367648000</v>
      </c>
      <c r="Y862" s="58">
        <v>0</v>
      </c>
      <c r="Z862" s="58">
        <v>367648000</v>
      </c>
      <c r="AA862" s="58">
        <v>131777000</v>
      </c>
      <c r="AB862" s="58">
        <v>0</v>
      </c>
      <c r="AC862" s="58">
        <v>131777000</v>
      </c>
      <c r="AD862" s="58">
        <v>449890000</v>
      </c>
      <c r="AE862" s="58">
        <v>0</v>
      </c>
      <c r="AF862" s="58">
        <v>449890000</v>
      </c>
      <c r="AG862" s="122"/>
      <c r="AH862" s="122"/>
      <c r="AI862" s="122"/>
      <c r="AJ862" s="121">
        <v>12188325</v>
      </c>
      <c r="AK862" s="66">
        <v>937050</v>
      </c>
      <c r="AL862" s="54">
        <v>44917</v>
      </c>
      <c r="AM862" s="116">
        <v>1197</v>
      </c>
      <c r="AN862" s="42">
        <v>19691100</v>
      </c>
      <c r="AO862" s="125">
        <v>3231900</v>
      </c>
      <c r="AP862" s="59"/>
      <c r="AQ862" s="102">
        <v>27427400353864</v>
      </c>
      <c r="AR862" s="102">
        <v>274353676000</v>
      </c>
      <c r="AS862" s="102">
        <v>127849646000</v>
      </c>
      <c r="AT862" s="102">
        <v>230313051000</v>
      </c>
      <c r="AU862" s="55">
        <f t="shared" si="692"/>
        <v>63713494</v>
      </c>
      <c r="AV862" s="99">
        <f t="shared" si="757"/>
        <v>23450408849.595997</v>
      </c>
    </row>
    <row r="863" spans="1:48" ht="15">
      <c r="A863" s="28">
        <v>44935</v>
      </c>
      <c r="B863" s="56">
        <v>45668010000</v>
      </c>
      <c r="C863" s="56">
        <v>7528077260</v>
      </c>
      <c r="D863" s="56">
        <v>0</v>
      </c>
      <c r="E863" s="56">
        <v>0</v>
      </c>
      <c r="F863" s="56">
        <v>53196087260</v>
      </c>
      <c r="G863" s="65">
        <v>14362944</v>
      </c>
      <c r="H863" s="58">
        <v>19140196000</v>
      </c>
      <c r="I863" s="58">
        <v>56190600000</v>
      </c>
      <c r="J863" s="58">
        <v>75330796000</v>
      </c>
      <c r="K863" s="58"/>
      <c r="L863" s="58">
        <v>12906393000</v>
      </c>
      <c r="M863" s="58">
        <v>50832200000</v>
      </c>
      <c r="N863" s="58">
        <v>63738593000</v>
      </c>
      <c r="O863" s="58">
        <v>2780765000</v>
      </c>
      <c r="P863" s="58">
        <v>0</v>
      </c>
      <c r="Q863" s="58">
        <v>2780765000</v>
      </c>
      <c r="R863" s="58">
        <v>773542000</v>
      </c>
      <c r="S863" s="58">
        <v>0</v>
      </c>
      <c r="T863" s="58">
        <v>773542000</v>
      </c>
      <c r="U863" s="58">
        <v>31573000</v>
      </c>
      <c r="V863" s="58">
        <v>0</v>
      </c>
      <c r="W863" s="58">
        <v>31573000</v>
      </c>
      <c r="X863" s="58">
        <v>364701000</v>
      </c>
      <c r="Y863" s="58">
        <v>0</v>
      </c>
      <c r="Z863" s="58">
        <v>364701000</v>
      </c>
      <c r="AA863" s="58">
        <v>11840000</v>
      </c>
      <c r="AB863" s="58">
        <v>0</v>
      </c>
      <c r="AC863" s="58">
        <v>11840000</v>
      </c>
      <c r="AD863" s="58">
        <v>450000000</v>
      </c>
      <c r="AE863" s="58">
        <v>0</v>
      </c>
      <c r="AF863" s="58">
        <v>450000000</v>
      </c>
      <c r="AG863" s="122"/>
      <c r="AH863" s="122"/>
      <c r="AI863" s="122"/>
      <c r="AJ863" s="121">
        <v>23201677</v>
      </c>
      <c r="AK863" s="66">
        <v>985830</v>
      </c>
      <c r="AL863" s="54">
        <v>44918</v>
      </c>
      <c r="AM863" s="116">
        <v>1369</v>
      </c>
      <c r="AN863" s="42">
        <v>4153950</v>
      </c>
      <c r="AO863" s="125">
        <v>3696300</v>
      </c>
      <c r="AP863" s="59"/>
      <c r="AQ863" s="102">
        <v>19187902247470</v>
      </c>
      <c r="AR863" s="102">
        <v>471886122000</v>
      </c>
      <c r="AS863" s="102">
        <v>213653210000</v>
      </c>
      <c r="AT863" s="102">
        <v>266849297260</v>
      </c>
      <c r="AU863" s="55">
        <f t="shared" si="692"/>
        <v>46400701</v>
      </c>
      <c r="AV863" s="99">
        <f t="shared" si="757"/>
        <v>23496809550.595997</v>
      </c>
    </row>
    <row r="864" spans="1:48" ht="15">
      <c r="A864" s="28">
        <v>44936</v>
      </c>
      <c r="B864" s="56">
        <v>40906915000</v>
      </c>
      <c r="C864" s="56">
        <v>7528077260</v>
      </c>
      <c r="D864" s="56">
        <v>8278670000</v>
      </c>
      <c r="E864" s="56">
        <v>0</v>
      </c>
      <c r="F864" s="56">
        <v>56713662260</v>
      </c>
      <c r="G864" s="65">
        <v>15312689</v>
      </c>
      <c r="H864" s="58">
        <v>5257270000</v>
      </c>
      <c r="I864" s="58">
        <v>63326000000</v>
      </c>
      <c r="J864" s="58">
        <v>68583270000</v>
      </c>
      <c r="K864" s="58"/>
      <c r="L864" s="58">
        <v>34826827000</v>
      </c>
      <c r="M864" s="58">
        <v>16145300000</v>
      </c>
      <c r="N864" s="58">
        <v>50972127000</v>
      </c>
      <c r="O864" s="58">
        <v>134218000</v>
      </c>
      <c r="P864" s="58">
        <v>0</v>
      </c>
      <c r="Q864" s="58">
        <v>134218000</v>
      </c>
      <c r="R864" s="58">
        <v>833628000</v>
      </c>
      <c r="S864" s="58">
        <v>0</v>
      </c>
      <c r="T864" s="58">
        <v>833628000</v>
      </c>
      <c r="U864" s="58">
        <v>90247000</v>
      </c>
      <c r="V864" s="58">
        <v>0</v>
      </c>
      <c r="W864" s="58">
        <v>90247000</v>
      </c>
      <c r="X864" s="58">
        <v>348954000</v>
      </c>
      <c r="Y864" s="58">
        <v>0</v>
      </c>
      <c r="Z864" s="58">
        <v>348954000</v>
      </c>
      <c r="AA864" s="58">
        <v>53453000</v>
      </c>
      <c r="AB864" s="58">
        <v>0</v>
      </c>
      <c r="AC864" s="58">
        <v>53453000</v>
      </c>
      <c r="AD864" s="58">
        <v>446000000</v>
      </c>
      <c r="AE864" s="58">
        <v>0</v>
      </c>
      <c r="AF864" s="58">
        <v>446000000</v>
      </c>
      <c r="AG864" s="122"/>
      <c r="AH864" s="122"/>
      <c r="AI864" s="122"/>
      <c r="AJ864" s="121">
        <v>18839818</v>
      </c>
      <c r="AK864" s="66">
        <v>736410</v>
      </c>
      <c r="AL864" s="54">
        <v>44919</v>
      </c>
      <c r="AM864" s="116">
        <v>1146</v>
      </c>
      <c r="AN864" s="42">
        <v>4546650</v>
      </c>
      <c r="AO864" s="125">
        <v>3094200</v>
      </c>
      <c r="AP864" s="59"/>
      <c r="AQ864" s="102">
        <v>21970220665672</v>
      </c>
      <c r="AR864" s="102">
        <v>445104406000</v>
      </c>
      <c r="AS864" s="102">
        <v>153226397000</v>
      </c>
      <c r="AT864" s="102">
        <v>209940059260</v>
      </c>
      <c r="AU864" s="55">
        <f t="shared" si="692"/>
        <v>42529767</v>
      </c>
      <c r="AV864" s="99">
        <f t="shared" si="757"/>
        <v>23539339317.595997</v>
      </c>
    </row>
    <row r="865" spans="1:48" ht="15">
      <c r="A865" s="28">
        <v>44937</v>
      </c>
      <c r="B865" s="56">
        <v>40815625000</v>
      </c>
      <c r="C865" s="56">
        <v>21578420000</v>
      </c>
      <c r="D865" s="56">
        <v>0</v>
      </c>
      <c r="E865" s="56">
        <v>0</v>
      </c>
      <c r="F865" s="56">
        <v>62394045000</v>
      </c>
      <c r="G865" s="65">
        <v>16846392</v>
      </c>
      <c r="H865" s="58">
        <v>3661625000</v>
      </c>
      <c r="I865" s="58">
        <v>5462500000</v>
      </c>
      <c r="J865" s="58">
        <v>9124125000</v>
      </c>
      <c r="K865" s="58"/>
      <c r="L865" s="58">
        <v>24601038000</v>
      </c>
      <c r="M865" s="58">
        <v>0</v>
      </c>
      <c r="N865" s="58">
        <v>24601038000</v>
      </c>
      <c r="O865" s="58">
        <v>145503000</v>
      </c>
      <c r="P865" s="58">
        <v>0</v>
      </c>
      <c r="Q865" s="58">
        <v>145503000</v>
      </c>
      <c r="R865" s="58">
        <v>979126000</v>
      </c>
      <c r="S865" s="58">
        <v>0</v>
      </c>
      <c r="T865" s="58">
        <v>979126000</v>
      </c>
      <c r="U865" s="58">
        <v>209179000</v>
      </c>
      <c r="V865" s="58">
        <v>0</v>
      </c>
      <c r="W865" s="58">
        <v>209179000</v>
      </c>
      <c r="X865" s="58">
        <v>372500000</v>
      </c>
      <c r="Y865" s="58">
        <v>0</v>
      </c>
      <c r="Z865" s="58">
        <v>372500000</v>
      </c>
      <c r="AA865" s="58">
        <v>13495000</v>
      </c>
      <c r="AB865" s="58">
        <v>0</v>
      </c>
      <c r="AC865" s="58">
        <v>13495000</v>
      </c>
      <c r="AD865" s="58">
        <v>461154000</v>
      </c>
      <c r="AE865" s="58">
        <v>0</v>
      </c>
      <c r="AF865" s="58">
        <v>461154000</v>
      </c>
      <c r="AG865" s="122"/>
      <c r="AH865" s="122"/>
      <c r="AI865" s="122"/>
      <c r="AJ865" s="121">
        <v>4271161</v>
      </c>
      <c r="AK865" s="66">
        <v>146880</v>
      </c>
      <c r="AL865" s="54">
        <v>44920</v>
      </c>
      <c r="AM865" s="116">
        <v>855</v>
      </c>
      <c r="AN865" s="42">
        <v>6558600</v>
      </c>
      <c r="AO865" s="125">
        <v>2308500</v>
      </c>
      <c r="AP865" s="59"/>
      <c r="AQ865" s="102">
        <v>20251033035874</v>
      </c>
      <c r="AR865" s="102">
        <v>120021568000</v>
      </c>
      <c r="AS865" s="102">
        <v>42583820000</v>
      </c>
      <c r="AT865" s="102">
        <v>104977865000</v>
      </c>
      <c r="AU865" s="55">
        <f t="shared" si="692"/>
        <v>30131533</v>
      </c>
      <c r="AV865" s="99">
        <f t="shared" si="757"/>
        <v>23569470850.595997</v>
      </c>
    </row>
    <row r="866" spans="1:48" ht="15">
      <c r="A866" s="28">
        <v>44938</v>
      </c>
      <c r="B866" s="56">
        <v>28455270000</v>
      </c>
      <c r="C866" s="56">
        <v>15996480000</v>
      </c>
      <c r="D866" s="56">
        <v>0</v>
      </c>
      <c r="E866" s="56">
        <v>0</v>
      </c>
      <c r="F866" s="56">
        <v>44451750000</v>
      </c>
      <c r="G866" s="65">
        <v>12001973</v>
      </c>
      <c r="H866" s="58">
        <v>20798471000</v>
      </c>
      <c r="I866" s="58">
        <v>0</v>
      </c>
      <c r="J866" s="58">
        <v>20798471000</v>
      </c>
      <c r="K866" s="58"/>
      <c r="L866" s="58">
        <v>6285707000</v>
      </c>
      <c r="M866" s="58">
        <v>6925000000</v>
      </c>
      <c r="N866" s="58">
        <v>13210707000</v>
      </c>
      <c r="O866" s="58">
        <v>7756391000</v>
      </c>
      <c r="P866" s="58">
        <v>0</v>
      </c>
      <c r="Q866" s="58">
        <v>7756391000</v>
      </c>
      <c r="R866" s="58">
        <v>775067000</v>
      </c>
      <c r="S866" s="58">
        <v>0</v>
      </c>
      <c r="T866" s="58">
        <v>775067000</v>
      </c>
      <c r="U866" s="58">
        <v>0</v>
      </c>
      <c r="V866" s="58">
        <v>0</v>
      </c>
      <c r="W866" s="58">
        <v>0</v>
      </c>
      <c r="X866" s="58">
        <v>349000000</v>
      </c>
      <c r="Y866" s="58">
        <v>0</v>
      </c>
      <c r="Z866" s="58">
        <v>349000000</v>
      </c>
      <c r="AA866" s="58">
        <v>17573000</v>
      </c>
      <c r="AB866" s="58">
        <v>0</v>
      </c>
      <c r="AC866" s="58">
        <v>17573000</v>
      </c>
      <c r="AD866" s="58">
        <v>449500000</v>
      </c>
      <c r="AE866" s="58">
        <v>0</v>
      </c>
      <c r="AF866" s="58">
        <v>449500000</v>
      </c>
      <c r="AG866" s="122"/>
      <c r="AH866" s="122"/>
      <c r="AI866" s="122"/>
      <c r="AJ866" s="121">
        <v>5181125</v>
      </c>
      <c r="AK866" s="66">
        <v>914850</v>
      </c>
      <c r="AL866" s="54">
        <v>44921</v>
      </c>
      <c r="AM866" s="116">
        <v>794</v>
      </c>
      <c r="AN866" s="42">
        <v>5380500</v>
      </c>
      <c r="AO866" s="125">
        <v>2143800</v>
      </c>
      <c r="AP866" s="59"/>
      <c r="AQ866" s="102">
        <v>19988685021076</v>
      </c>
      <c r="AR866" s="102">
        <v>171588968000</v>
      </c>
      <c r="AS866" s="102">
        <v>51488509000</v>
      </c>
      <c r="AT866" s="102">
        <v>95940259000</v>
      </c>
      <c r="AU866" s="55">
        <f t="shared" si="692"/>
        <v>25622248</v>
      </c>
      <c r="AV866" s="99">
        <f t="shared" si="757"/>
        <v>23595093098.595997</v>
      </c>
    </row>
    <row r="867" spans="1:48" ht="15">
      <c r="A867" s="28">
        <v>44939</v>
      </c>
      <c r="B867" s="56">
        <v>40700575000</v>
      </c>
      <c r="C867" s="56">
        <v>0</v>
      </c>
      <c r="D867" s="56">
        <v>0</v>
      </c>
      <c r="E867" s="56">
        <v>0</v>
      </c>
      <c r="F867" s="56">
        <v>40700575000</v>
      </c>
      <c r="G867" s="65">
        <v>10989155</v>
      </c>
      <c r="H867" s="58">
        <v>513040000</v>
      </c>
      <c r="I867" s="58">
        <v>69481000000</v>
      </c>
      <c r="J867" s="58">
        <v>69994040000</v>
      </c>
      <c r="K867" s="58"/>
      <c r="L867" s="58">
        <v>20143077000</v>
      </c>
      <c r="M867" s="58">
        <v>41751000000</v>
      </c>
      <c r="N867" s="58">
        <v>61894077000</v>
      </c>
      <c r="O867" s="58">
        <v>99230000</v>
      </c>
      <c r="P867" s="58">
        <v>0</v>
      </c>
      <c r="Q867" s="58">
        <v>99230000</v>
      </c>
      <c r="R867" s="58">
        <v>503995000</v>
      </c>
      <c r="S867" s="58">
        <v>0</v>
      </c>
      <c r="T867" s="58">
        <v>503995000</v>
      </c>
      <c r="U867" s="58">
        <v>79225000</v>
      </c>
      <c r="V867" s="58">
        <v>0</v>
      </c>
      <c r="W867" s="58">
        <v>79225000</v>
      </c>
      <c r="X867" s="58">
        <v>355274000</v>
      </c>
      <c r="Y867" s="58">
        <v>0</v>
      </c>
      <c r="Z867" s="58">
        <v>355274000</v>
      </c>
      <c r="AA867" s="58">
        <v>93201000</v>
      </c>
      <c r="AB867" s="58">
        <v>0</v>
      </c>
      <c r="AC867" s="58">
        <v>93201000</v>
      </c>
      <c r="AD867" s="58">
        <v>450500000</v>
      </c>
      <c r="AE867" s="58">
        <v>0</v>
      </c>
      <c r="AF867" s="58">
        <v>450500000</v>
      </c>
      <c r="AG867" s="122"/>
      <c r="AH867" s="122"/>
      <c r="AI867" s="122"/>
      <c r="AJ867" s="121">
        <v>22423415</v>
      </c>
      <c r="AK867" s="66">
        <v>959820</v>
      </c>
      <c r="AL867" s="54">
        <v>44921</v>
      </c>
      <c r="AM867" s="116">
        <v>1263</v>
      </c>
      <c r="AN867" s="42">
        <v>10472850</v>
      </c>
      <c r="AO867" s="125">
        <v>3410100</v>
      </c>
      <c r="AP867" s="59"/>
      <c r="AQ867" s="102">
        <v>27395367537078</v>
      </c>
      <c r="AR867" s="102">
        <v>433495504000</v>
      </c>
      <c r="AS867" s="102">
        <v>227636842000</v>
      </c>
      <c r="AT867" s="102">
        <v>268337417000</v>
      </c>
      <c r="AU867" s="55">
        <f t="shared" si="692"/>
        <v>48255340</v>
      </c>
      <c r="AV867" s="99">
        <f t="shared" si="757"/>
        <v>23643348438.595997</v>
      </c>
    </row>
    <row r="868" spans="1:48" ht="15">
      <c r="A868" s="28">
        <v>44942</v>
      </c>
      <c r="B868" s="56">
        <v>37983160000</v>
      </c>
      <c r="C868" s="56">
        <v>16130645000</v>
      </c>
      <c r="D868" s="56">
        <v>0</v>
      </c>
      <c r="E868" s="56">
        <v>0</v>
      </c>
      <c r="F868" s="56">
        <v>54113805000</v>
      </c>
      <c r="G868" s="65">
        <v>14610727</v>
      </c>
      <c r="H868" s="58">
        <v>575190000</v>
      </c>
      <c r="I868" s="58">
        <v>53030100000</v>
      </c>
      <c r="J868" s="58">
        <v>53605290000</v>
      </c>
      <c r="K868" s="58"/>
      <c r="L868" s="58">
        <v>13427360000</v>
      </c>
      <c r="M868" s="58">
        <v>9256000000</v>
      </c>
      <c r="N868" s="58">
        <v>22683360000</v>
      </c>
      <c r="O868" s="58">
        <v>92924000</v>
      </c>
      <c r="P868" s="58">
        <v>0</v>
      </c>
      <c r="Q868" s="58">
        <v>92924000</v>
      </c>
      <c r="R868" s="58">
        <v>749485000</v>
      </c>
      <c r="S868" s="58">
        <v>0</v>
      </c>
      <c r="T868" s="58">
        <v>749485000</v>
      </c>
      <c r="U868" s="58">
        <v>10592000</v>
      </c>
      <c r="V868" s="58">
        <v>0</v>
      </c>
      <c r="W868" s="58">
        <v>10592000</v>
      </c>
      <c r="X868" s="58">
        <v>350000000</v>
      </c>
      <c r="Y868" s="58">
        <v>0</v>
      </c>
      <c r="Z868" s="58">
        <v>350000000</v>
      </c>
      <c r="AA868" s="58">
        <v>0</v>
      </c>
      <c r="AB868" s="58">
        <v>0</v>
      </c>
      <c r="AC868" s="58">
        <v>0</v>
      </c>
      <c r="AD868" s="58">
        <v>452000000</v>
      </c>
      <c r="AE868" s="58">
        <v>0</v>
      </c>
      <c r="AF868" s="58">
        <v>452000000</v>
      </c>
      <c r="AG868" s="122"/>
      <c r="AH868" s="122"/>
      <c r="AI868" s="122"/>
      <c r="AJ868" s="121">
        <v>12902514</v>
      </c>
      <c r="AK868" s="66">
        <v>732390</v>
      </c>
      <c r="AL868" s="54">
        <v>44922</v>
      </c>
      <c r="AM868" s="116">
        <v>501</v>
      </c>
      <c r="AN868" s="42">
        <v>3712800</v>
      </c>
      <c r="AO868" s="125">
        <v>1352700</v>
      </c>
      <c r="AP868" s="59"/>
      <c r="AQ868" s="102">
        <v>20860515589884</v>
      </c>
      <c r="AR868" s="102">
        <v>459445064000</v>
      </c>
      <c r="AS868" s="102">
        <v>141443351000</v>
      </c>
      <c r="AT868" s="102">
        <v>195557156000</v>
      </c>
      <c r="AU868" s="55">
        <f t="shared" si="692"/>
        <v>33311131</v>
      </c>
      <c r="AV868" s="99">
        <f t="shared" si="757"/>
        <v>23676659569.595997</v>
      </c>
    </row>
    <row r="869" spans="1:48" ht="15">
      <c r="A869" s="28">
        <v>44943</v>
      </c>
      <c r="B869" s="56">
        <v>160567860000</v>
      </c>
      <c r="C869" s="56">
        <v>32904250000</v>
      </c>
      <c r="D869" s="56">
        <v>0</v>
      </c>
      <c r="E869" s="56">
        <v>0</v>
      </c>
      <c r="F869" s="56">
        <v>193472110000</v>
      </c>
      <c r="G869" s="65">
        <v>52237470</v>
      </c>
      <c r="H869" s="58">
        <v>15518295000</v>
      </c>
      <c r="I869" s="58">
        <v>65221600000</v>
      </c>
      <c r="J869" s="58">
        <v>80739895000</v>
      </c>
      <c r="K869" s="58"/>
      <c r="L869" s="58">
        <v>22227756000</v>
      </c>
      <c r="M869" s="58">
        <v>2308000000</v>
      </c>
      <c r="N869" s="58">
        <v>24535756000</v>
      </c>
      <c r="O869" s="58">
        <v>692347000</v>
      </c>
      <c r="P869" s="58">
        <v>0</v>
      </c>
      <c r="Q869" s="58">
        <v>692347000</v>
      </c>
      <c r="R869" s="58">
        <v>1162354000</v>
      </c>
      <c r="S869" s="58">
        <v>0</v>
      </c>
      <c r="T869" s="58">
        <v>1162354000</v>
      </c>
      <c r="U869" s="58">
        <v>24254000</v>
      </c>
      <c r="V869" s="58">
        <v>0</v>
      </c>
      <c r="W869" s="58">
        <v>24254000</v>
      </c>
      <c r="X869" s="58">
        <v>364829000</v>
      </c>
      <c r="Y869" s="58">
        <v>0</v>
      </c>
      <c r="Z869" s="58">
        <v>364829000</v>
      </c>
      <c r="AA869" s="58">
        <v>68091000</v>
      </c>
      <c r="AB869" s="58">
        <v>0</v>
      </c>
      <c r="AC869" s="58">
        <v>68091000</v>
      </c>
      <c r="AD869" s="58">
        <v>473054000</v>
      </c>
      <c r="AE869" s="58">
        <v>0</v>
      </c>
      <c r="AF869" s="58">
        <v>473054000</v>
      </c>
      <c r="AG869" s="122"/>
      <c r="AH869" s="122"/>
      <c r="AI869" s="122"/>
      <c r="AJ869" s="121">
        <v>16532674</v>
      </c>
      <c r="AK869" s="66">
        <v>1064460</v>
      </c>
      <c r="AL869" s="54">
        <v>44923</v>
      </c>
      <c r="AM869" s="116">
        <v>2927</v>
      </c>
      <c r="AN869" s="42">
        <v>5530950</v>
      </c>
      <c r="AO869" s="125">
        <v>7902900</v>
      </c>
      <c r="AP869" s="59"/>
      <c r="AQ869" s="102">
        <v>26389179621886</v>
      </c>
      <c r="AR869" s="102">
        <v>238038010000</v>
      </c>
      <c r="AS869" s="102">
        <v>176823380000</v>
      </c>
      <c r="AT869" s="102">
        <v>370295490000</v>
      </c>
      <c r="AU869" s="55">
        <f t="shared" si="692"/>
        <v>83268454</v>
      </c>
      <c r="AV869" s="99">
        <f t="shared" si="757"/>
        <v>23759928023.595997</v>
      </c>
    </row>
    <row r="870" spans="1:48" ht="15">
      <c r="A870" s="28">
        <v>44944</v>
      </c>
      <c r="B870" s="56">
        <v>58568810000</v>
      </c>
      <c r="C870" s="56">
        <v>24977735000</v>
      </c>
      <c r="D870" s="56">
        <v>0</v>
      </c>
      <c r="E870" s="56">
        <v>0</v>
      </c>
      <c r="F870" s="56">
        <v>83546545000</v>
      </c>
      <c r="G870" s="65">
        <v>22557567</v>
      </c>
      <c r="H870" s="58">
        <v>1291981000</v>
      </c>
      <c r="I870" s="58">
        <v>35934900000</v>
      </c>
      <c r="J870" s="58">
        <v>37226881000</v>
      </c>
      <c r="K870" s="58"/>
      <c r="L870" s="58">
        <v>6245529000</v>
      </c>
      <c r="M870" s="58">
        <v>0</v>
      </c>
      <c r="N870" s="58">
        <v>6245529000</v>
      </c>
      <c r="O870" s="58">
        <v>483142000</v>
      </c>
      <c r="P870" s="58">
        <v>0</v>
      </c>
      <c r="Q870" s="58">
        <v>483142000</v>
      </c>
      <c r="R870" s="58">
        <v>1322571000</v>
      </c>
      <c r="S870" s="58">
        <v>0</v>
      </c>
      <c r="T870" s="58">
        <v>1322571000</v>
      </c>
      <c r="U870" s="58">
        <v>114648000</v>
      </c>
      <c r="V870" s="58">
        <v>0</v>
      </c>
      <c r="W870" s="58">
        <v>114648000</v>
      </c>
      <c r="X870" s="58">
        <v>363450000</v>
      </c>
      <c r="Y870" s="58">
        <v>0</v>
      </c>
      <c r="Z870" s="58">
        <v>363450000</v>
      </c>
      <c r="AA870" s="58">
        <v>10356000</v>
      </c>
      <c r="AB870" s="58">
        <v>0</v>
      </c>
      <c r="AC870" s="58">
        <v>10356000</v>
      </c>
      <c r="AD870" s="58">
        <v>492800000</v>
      </c>
      <c r="AE870" s="58">
        <v>0</v>
      </c>
      <c r="AF870" s="58">
        <v>492800000</v>
      </c>
      <c r="AG870" s="122"/>
      <c r="AH870" s="122"/>
      <c r="AI870" s="122"/>
      <c r="AJ870" s="121">
        <v>7583326</v>
      </c>
      <c r="AK870" s="66">
        <v>484050</v>
      </c>
      <c r="AL870" s="54">
        <v>44924</v>
      </c>
      <c r="AM870" s="116">
        <v>1487</v>
      </c>
      <c r="AN870" s="42">
        <v>8272200</v>
      </c>
      <c r="AO870" s="125">
        <v>4014900</v>
      </c>
      <c r="AP870" s="59"/>
      <c r="AQ870" s="102">
        <v>23829018313888</v>
      </c>
      <c r="AR870" s="102">
        <v>125915752000</v>
      </c>
      <c r="AS870" s="102">
        <v>83452577000</v>
      </c>
      <c r="AT870" s="102">
        <v>166999122000</v>
      </c>
      <c r="AU870" s="55">
        <f t="shared" si="692"/>
        <v>42912043</v>
      </c>
      <c r="AV870" s="99">
        <f t="shared" si="757"/>
        <v>23802840066.595997</v>
      </c>
    </row>
    <row r="871" spans="1:48" ht="15">
      <c r="A871" s="28">
        <v>44945</v>
      </c>
      <c r="B871" s="56">
        <v>90290645000</v>
      </c>
      <c r="C871" s="56">
        <v>50520485000</v>
      </c>
      <c r="D871" s="56">
        <v>0</v>
      </c>
      <c r="E871" s="56">
        <v>0</v>
      </c>
      <c r="F871" s="56">
        <v>140811130000</v>
      </c>
      <c r="G871" s="65">
        <v>38019005</v>
      </c>
      <c r="H871" s="58">
        <v>6462507000</v>
      </c>
      <c r="I871" s="58">
        <v>34233400000</v>
      </c>
      <c r="J871" s="58">
        <v>40695907000</v>
      </c>
      <c r="K871" s="58"/>
      <c r="L871" s="58">
        <v>0</v>
      </c>
      <c r="M871" s="58">
        <v>9575000000</v>
      </c>
      <c r="N871" s="58">
        <v>9575000000</v>
      </c>
      <c r="O871" s="58">
        <v>3580918000</v>
      </c>
      <c r="P871" s="58">
        <v>0</v>
      </c>
      <c r="Q871" s="58">
        <v>3580918000</v>
      </c>
      <c r="R871" s="58">
        <v>1114502000</v>
      </c>
      <c r="S871" s="58">
        <v>0</v>
      </c>
      <c r="T871" s="58">
        <v>1114502000</v>
      </c>
      <c r="U871" s="58">
        <v>126332000</v>
      </c>
      <c r="V871" s="58">
        <v>0</v>
      </c>
      <c r="W871" s="58">
        <v>126332000</v>
      </c>
      <c r="X871" s="58">
        <v>364000000</v>
      </c>
      <c r="Y871" s="58">
        <v>0</v>
      </c>
      <c r="Z871" s="58">
        <v>364000000</v>
      </c>
      <c r="AA871" s="58">
        <v>7877000</v>
      </c>
      <c r="AB871" s="58">
        <v>0</v>
      </c>
      <c r="AC871" s="58">
        <v>7877000</v>
      </c>
      <c r="AD871" s="58">
        <v>476000000</v>
      </c>
      <c r="AE871" s="58">
        <v>0</v>
      </c>
      <c r="AF871" s="58">
        <v>476000000</v>
      </c>
      <c r="AG871" s="122"/>
      <c r="AH871" s="122"/>
      <c r="AI871" s="122"/>
      <c r="AJ871" s="121">
        <v>9195783</v>
      </c>
      <c r="AK871" s="66">
        <v>125820</v>
      </c>
      <c r="AL871" s="54">
        <v>44925</v>
      </c>
      <c r="AM871" s="116">
        <v>3050</v>
      </c>
      <c r="AN871" s="42">
        <v>10378500</v>
      </c>
      <c r="AO871" s="125">
        <v>8235000</v>
      </c>
      <c r="AP871" s="59"/>
      <c r="AQ871" s="102">
        <v>26275037329890</v>
      </c>
      <c r="AR871" s="102">
        <v>224032282000</v>
      </c>
      <c r="AS871" s="102">
        <v>101031636000</v>
      </c>
      <c r="AT871" s="102">
        <v>241842766000</v>
      </c>
      <c r="AU871" s="55">
        <f t="shared" si="692"/>
        <v>65954108</v>
      </c>
      <c r="AV871" s="99">
        <f t="shared" si="757"/>
        <v>23868794174.595997</v>
      </c>
    </row>
    <row r="872" spans="1:48" ht="15">
      <c r="A872" s="28">
        <v>44953</v>
      </c>
      <c r="B872" s="56">
        <v>56717530000</v>
      </c>
      <c r="C872" s="56">
        <v>17102265000</v>
      </c>
      <c r="D872" s="56">
        <v>0</v>
      </c>
      <c r="E872" s="56">
        <v>0</v>
      </c>
      <c r="F872" s="56">
        <v>73819795000</v>
      </c>
      <c r="G872" s="65">
        <v>19931345</v>
      </c>
      <c r="H872" s="58">
        <v>16028626000</v>
      </c>
      <c r="I872" s="58">
        <v>7745800000</v>
      </c>
      <c r="J872" s="58">
        <v>23774426000</v>
      </c>
      <c r="K872" s="58"/>
      <c r="L872" s="58">
        <v>17840609000</v>
      </c>
      <c r="M872" s="58">
        <v>0</v>
      </c>
      <c r="N872" s="58">
        <v>17840609000</v>
      </c>
      <c r="O872" s="58">
        <v>910501000</v>
      </c>
      <c r="P872" s="58">
        <v>0</v>
      </c>
      <c r="Q872" s="58">
        <v>910501000</v>
      </c>
      <c r="R872" s="58">
        <v>1523834000</v>
      </c>
      <c r="S872" s="58">
        <v>0</v>
      </c>
      <c r="T872" s="58">
        <v>1523834000</v>
      </c>
      <c r="U872" s="58">
        <v>209304000</v>
      </c>
      <c r="V872" s="58">
        <v>0</v>
      </c>
      <c r="W872" s="58">
        <v>209304000</v>
      </c>
      <c r="X872" s="58">
        <v>378661000</v>
      </c>
      <c r="Y872" s="58">
        <v>0</v>
      </c>
      <c r="Z872" s="58">
        <v>378661000</v>
      </c>
      <c r="AA872" s="58">
        <v>273153000</v>
      </c>
      <c r="AB872" s="58">
        <v>0</v>
      </c>
      <c r="AC872" s="58">
        <v>273153000</v>
      </c>
      <c r="AD872" s="58">
        <v>542301000</v>
      </c>
      <c r="AE872" s="58">
        <v>0</v>
      </c>
      <c r="AF872" s="58">
        <v>542301000</v>
      </c>
      <c r="AG872" s="122"/>
      <c r="AH872" s="122"/>
      <c r="AI872" s="122"/>
      <c r="AJ872" s="121">
        <v>5466599</v>
      </c>
      <c r="AK872" s="66">
        <v>348660</v>
      </c>
      <c r="AL872" s="54">
        <v>44925</v>
      </c>
      <c r="AM872" s="116">
        <v>1008</v>
      </c>
      <c r="AN872" s="42">
        <v>34134300</v>
      </c>
      <c r="AO872" s="125">
        <v>2721600</v>
      </c>
      <c r="AP872" s="59"/>
      <c r="AQ872" s="102">
        <v>25159091109906</v>
      </c>
      <c r="AR872" s="102">
        <v>190254088000</v>
      </c>
      <c r="AS872" s="102">
        <v>54488229000</v>
      </c>
      <c r="AT872" s="102">
        <v>128308024000</v>
      </c>
      <c r="AU872" s="55">
        <f t="shared" si="692"/>
        <v>62602504</v>
      </c>
      <c r="AV872" s="99">
        <f t="shared" si="757"/>
        <v>23931396678.595997</v>
      </c>
    </row>
    <row r="873" spans="1:48" ht="15">
      <c r="A873" s="28">
        <v>44956</v>
      </c>
      <c r="B873" s="56">
        <v>72061690000</v>
      </c>
      <c r="C873" s="56">
        <v>0</v>
      </c>
      <c r="D873" s="56">
        <v>0</v>
      </c>
      <c r="E873" s="56">
        <v>0</v>
      </c>
      <c r="F873" s="56">
        <v>72061690000</v>
      </c>
      <c r="G873" s="65">
        <v>19456656</v>
      </c>
      <c r="H873" s="58">
        <v>2937025000</v>
      </c>
      <c r="I873" s="58">
        <v>126502724000</v>
      </c>
      <c r="J873" s="58">
        <v>129439749000</v>
      </c>
      <c r="K873" s="58"/>
      <c r="L873" s="58">
        <v>43346098000</v>
      </c>
      <c r="M873" s="58">
        <v>17027500000</v>
      </c>
      <c r="N873" s="58">
        <v>60373598000</v>
      </c>
      <c r="O873" s="58">
        <v>413443000</v>
      </c>
      <c r="P873" s="58">
        <v>0</v>
      </c>
      <c r="Q873" s="58">
        <v>413443000</v>
      </c>
      <c r="R873" s="58">
        <v>1821464000</v>
      </c>
      <c r="S873" s="58">
        <v>0</v>
      </c>
      <c r="T873" s="58">
        <v>1821464000</v>
      </c>
      <c r="U873" s="58">
        <v>99698000</v>
      </c>
      <c r="V873" s="58">
        <v>0</v>
      </c>
      <c r="W873" s="58">
        <v>99698000</v>
      </c>
      <c r="X873" s="58">
        <v>389697000</v>
      </c>
      <c r="Y873" s="58">
        <v>0</v>
      </c>
      <c r="Z873" s="58">
        <v>389697000</v>
      </c>
      <c r="AA873" s="58">
        <v>30618000</v>
      </c>
      <c r="AB873" s="58">
        <v>0</v>
      </c>
      <c r="AC873" s="58">
        <v>30618000</v>
      </c>
      <c r="AD873" s="58">
        <v>473000000</v>
      </c>
      <c r="AE873" s="58">
        <v>0</v>
      </c>
      <c r="AF873" s="58">
        <v>473000000</v>
      </c>
      <c r="AG873" s="122"/>
      <c r="AH873" s="122"/>
      <c r="AI873" s="122"/>
      <c r="AJ873" s="121">
        <v>31182633</v>
      </c>
      <c r="AK873" s="66">
        <v>1126620</v>
      </c>
      <c r="AL873" s="54">
        <v>44926</v>
      </c>
      <c r="AM873" s="116">
        <v>928</v>
      </c>
      <c r="AN873" s="42">
        <v>10332600</v>
      </c>
      <c r="AO873" s="125">
        <v>2505600</v>
      </c>
      <c r="AP873" s="59"/>
      <c r="AQ873" s="102">
        <v>31495763113912</v>
      </c>
      <c r="AR873" s="102">
        <v>942649342000</v>
      </c>
      <c r="AS873" s="102">
        <v>239845062000</v>
      </c>
      <c r="AT873" s="102">
        <v>266849297260</v>
      </c>
      <c r="AU873" s="55">
        <f t="shared" si="692"/>
        <v>64604109</v>
      </c>
      <c r="AV873" s="99">
        <f t="shared" si="757"/>
        <v>23996000787.595997</v>
      </c>
    </row>
    <row r="874" spans="1:48" ht="15">
      <c r="A874" s="28">
        <v>44957</v>
      </c>
      <c r="B874" s="56">
        <v>25588310000</v>
      </c>
      <c r="C874" s="56">
        <v>0</v>
      </c>
      <c r="D874" s="56">
        <v>0</v>
      </c>
      <c r="E874" s="56">
        <v>0</v>
      </c>
      <c r="F874" s="56">
        <v>25588310000</v>
      </c>
      <c r="G874" s="65">
        <v>6908844</v>
      </c>
      <c r="H874" s="58">
        <v>173784000</v>
      </c>
      <c r="I874" s="58">
        <v>10401150000</v>
      </c>
      <c r="J874" s="58">
        <v>10574934000</v>
      </c>
      <c r="K874" s="58"/>
      <c r="L874" s="58">
        <v>21189405000</v>
      </c>
      <c r="M874" s="58">
        <v>0</v>
      </c>
      <c r="N874" s="58">
        <v>21189405000</v>
      </c>
      <c r="O874" s="58">
        <v>5822987000</v>
      </c>
      <c r="P874" s="58">
        <v>0</v>
      </c>
      <c r="Q874" s="58">
        <v>5822987000</v>
      </c>
      <c r="R874" s="58">
        <v>1154462000</v>
      </c>
      <c r="S874" s="58">
        <v>0</v>
      </c>
      <c r="T874" s="58">
        <v>1154462000</v>
      </c>
      <c r="U874" s="58">
        <v>50679000</v>
      </c>
      <c r="V874" s="58">
        <v>0</v>
      </c>
      <c r="W874" s="58">
        <v>50679000</v>
      </c>
      <c r="X874" s="58">
        <v>359728000</v>
      </c>
      <c r="Y874" s="58">
        <v>0</v>
      </c>
      <c r="Z874" s="58">
        <v>359728000</v>
      </c>
      <c r="AA874" s="58">
        <v>47290000</v>
      </c>
      <c r="AB874" s="58">
        <v>0</v>
      </c>
      <c r="AC874" s="58">
        <v>47290000</v>
      </c>
      <c r="AD874" s="58">
        <v>463500000</v>
      </c>
      <c r="AE874" s="58">
        <v>0</v>
      </c>
      <c r="AF874" s="58">
        <v>463500000</v>
      </c>
      <c r="AG874" s="122"/>
      <c r="AH874" s="122"/>
      <c r="AI874" s="122"/>
      <c r="AJ874" s="121">
        <v>5032485</v>
      </c>
      <c r="AK874" s="66">
        <v>318180</v>
      </c>
      <c r="AL874" s="54">
        <v>44927</v>
      </c>
      <c r="AM874" s="116">
        <v>527</v>
      </c>
      <c r="AN874" s="42">
        <v>10401450</v>
      </c>
      <c r="AO874" s="125">
        <v>1422900</v>
      </c>
      <c r="AP874" s="59">
        <v>36565000</v>
      </c>
      <c r="AQ874" s="102">
        <v>30810247089914</v>
      </c>
      <c r="AR874" s="102">
        <v>132142098000</v>
      </c>
      <c r="AS874" s="102">
        <v>51313235000</v>
      </c>
      <c r="AT874" s="102">
        <v>76901545000</v>
      </c>
      <c r="AU874" s="55">
        <f t="shared" si="692"/>
        <v>60648859</v>
      </c>
      <c r="AV874" s="99">
        <f t="shared" si="757"/>
        <v>24056649646.595997</v>
      </c>
    </row>
    <row r="875" spans="1:48" ht="15">
      <c r="A875" s="28">
        <v>44958</v>
      </c>
      <c r="B875" s="56">
        <v>188557435000</v>
      </c>
      <c r="C875" s="56">
        <v>17040030000</v>
      </c>
      <c r="D875" s="56">
        <v>0</v>
      </c>
      <c r="E875" s="56">
        <v>0</v>
      </c>
      <c r="F875" s="65">
        <v>205597465000</v>
      </c>
      <c r="G875" s="65">
        <v>55511316</v>
      </c>
      <c r="H875" s="58">
        <v>2547866000</v>
      </c>
      <c r="I875" s="58">
        <v>43450800000</v>
      </c>
      <c r="J875" s="58">
        <v>45998666000</v>
      </c>
      <c r="K875" s="58"/>
      <c r="L875" s="58">
        <v>7158273000</v>
      </c>
      <c r="M875" s="58">
        <v>4730000000</v>
      </c>
      <c r="N875" s="58">
        <v>11888273000</v>
      </c>
      <c r="O875" s="58">
        <v>706727000</v>
      </c>
      <c r="P875" s="58">
        <v>0</v>
      </c>
      <c r="Q875" s="58">
        <v>706727000</v>
      </c>
      <c r="R875" s="58">
        <v>2625043000</v>
      </c>
      <c r="S875" s="58">
        <v>0</v>
      </c>
      <c r="T875" s="58">
        <v>2625043000</v>
      </c>
      <c r="U875" s="58">
        <v>189271000</v>
      </c>
      <c r="V875" s="58">
        <v>0</v>
      </c>
      <c r="W875" s="58">
        <v>189271000</v>
      </c>
      <c r="X875" s="58">
        <v>398188000</v>
      </c>
      <c r="Y875" s="58">
        <v>0</v>
      </c>
      <c r="Z875" s="58">
        <v>398188000</v>
      </c>
      <c r="AA875" s="58">
        <v>165300000</v>
      </c>
      <c r="AB875" s="58">
        <v>0</v>
      </c>
      <c r="AC875" s="58">
        <v>165300000</v>
      </c>
      <c r="AD875" s="58">
        <v>488453000</v>
      </c>
      <c r="AE875" s="58">
        <v>0</v>
      </c>
      <c r="AF875" s="58">
        <v>488453000</v>
      </c>
      <c r="AG875" s="122"/>
      <c r="AH875" s="122"/>
      <c r="AI875" s="122"/>
      <c r="AJ875" s="121">
        <v>10214689</v>
      </c>
      <c r="AK875" s="66">
        <v>1598100</v>
      </c>
      <c r="AL875" s="54">
        <v>44928</v>
      </c>
      <c r="AM875" s="116">
        <v>2696</v>
      </c>
      <c r="AN875" s="42">
        <v>7795350</v>
      </c>
      <c r="AO875" s="125">
        <v>7279200</v>
      </c>
      <c r="AP875" s="59"/>
      <c r="AQ875" s="102">
        <v>40415799569116</v>
      </c>
      <c r="AR875" s="102">
        <v>203452506000</v>
      </c>
      <c r="AS875" s="102">
        <v>111911780000</v>
      </c>
      <c r="AT875" s="102">
        <v>317509245000</v>
      </c>
      <c r="AU875" s="55">
        <f t="shared" si="692"/>
        <v>82398655</v>
      </c>
      <c r="AV875" s="99">
        <f t="shared" si="757"/>
        <v>24139048301.595997</v>
      </c>
    </row>
    <row r="876" spans="1:48" ht="15">
      <c r="A876" s="28">
        <v>44959</v>
      </c>
      <c r="B876" s="56">
        <v>154788108000</v>
      </c>
      <c r="C876" s="56">
        <v>0</v>
      </c>
      <c r="D876" s="56">
        <v>0</v>
      </c>
      <c r="E876" s="56">
        <v>0</v>
      </c>
      <c r="F876" s="65">
        <v>154788108000</v>
      </c>
      <c r="G876" s="65">
        <v>41792789</v>
      </c>
      <c r="H876" s="58">
        <v>1691095000</v>
      </c>
      <c r="I876" s="58">
        <v>24123300000</v>
      </c>
      <c r="J876" s="58">
        <v>25814395000</v>
      </c>
      <c r="K876" s="58"/>
      <c r="L876" s="58">
        <v>33093582000</v>
      </c>
      <c r="M876" s="58">
        <v>23580500000</v>
      </c>
      <c r="N876" s="58">
        <v>56674082000</v>
      </c>
      <c r="O876" s="58">
        <v>3710475000</v>
      </c>
      <c r="P876" s="58">
        <v>0</v>
      </c>
      <c r="Q876" s="58">
        <v>3710475000</v>
      </c>
      <c r="R876" s="58">
        <v>890947000</v>
      </c>
      <c r="S876" s="58">
        <v>0</v>
      </c>
      <c r="T876" s="58">
        <v>890947000</v>
      </c>
      <c r="U876" s="58">
        <v>75409000</v>
      </c>
      <c r="V876" s="58">
        <v>0</v>
      </c>
      <c r="W876" s="58">
        <v>75409000</v>
      </c>
      <c r="X876" s="58">
        <v>388166000</v>
      </c>
      <c r="Y876" s="58">
        <v>0</v>
      </c>
      <c r="Z876" s="58">
        <v>388166000</v>
      </c>
      <c r="AA876" s="58">
        <v>52053000</v>
      </c>
      <c r="AB876" s="58">
        <v>0</v>
      </c>
      <c r="AC876" s="58">
        <v>52053000</v>
      </c>
      <c r="AD876" s="58">
        <v>475249000</v>
      </c>
      <c r="AE876" s="58">
        <v>0</v>
      </c>
      <c r="AF876" s="58">
        <v>475249000</v>
      </c>
      <c r="AG876" s="122"/>
      <c r="AH876" s="122"/>
      <c r="AI876" s="122"/>
      <c r="AJ876" s="121">
        <v>12947397</v>
      </c>
      <c r="AK876" s="66">
        <v>986400</v>
      </c>
      <c r="AL876" s="54">
        <v>44929</v>
      </c>
      <c r="AM876" s="116">
        <v>1637</v>
      </c>
      <c r="AN876" s="42">
        <v>9419700</v>
      </c>
      <c r="AO876" s="125">
        <v>4419900</v>
      </c>
      <c r="AP876" s="59"/>
      <c r="AQ876" s="102">
        <v>25589147281918</v>
      </c>
      <c r="AR876" s="102">
        <v>199575564000</v>
      </c>
      <c r="AS876" s="102">
        <v>137023876000</v>
      </c>
      <c r="AT876" s="102">
        <v>291811984000</v>
      </c>
      <c r="AU876" s="55">
        <f>G876+AJ876+AK876+AN876+AO876+AP876</f>
        <v>69566186</v>
      </c>
      <c r="AV876" s="99">
        <f t="shared" si="757"/>
        <v>24208614487.595997</v>
      </c>
    </row>
    <row r="877" spans="1:48" ht="15">
      <c r="A877" s="28">
        <v>44960</v>
      </c>
      <c r="B877" s="56">
        <v>75057985000</v>
      </c>
      <c r="C877" s="56">
        <v>0</v>
      </c>
      <c r="D877" s="56">
        <v>0</v>
      </c>
      <c r="E877" s="56">
        <v>0</v>
      </c>
      <c r="F877" s="65">
        <v>75057985000</v>
      </c>
      <c r="G877" s="65">
        <v>20265656</v>
      </c>
      <c r="H877" s="58">
        <v>1035670000</v>
      </c>
      <c r="I877" s="58">
        <v>9228100000</v>
      </c>
      <c r="J877" s="58">
        <v>10263770000</v>
      </c>
      <c r="K877" s="58"/>
      <c r="L877" s="58">
        <v>10933855000</v>
      </c>
      <c r="M877" s="58">
        <v>11787500000</v>
      </c>
      <c r="N877" s="58">
        <v>22721355000</v>
      </c>
      <c r="O877" s="58">
        <v>5886656000</v>
      </c>
      <c r="P877" s="58">
        <v>0</v>
      </c>
      <c r="Q877" s="58">
        <v>5886656000</v>
      </c>
      <c r="R877" s="58">
        <v>763672000</v>
      </c>
      <c r="S877" s="58">
        <v>0</v>
      </c>
      <c r="T877" s="58">
        <v>763672000</v>
      </c>
      <c r="U877" s="58">
        <v>57859000</v>
      </c>
      <c r="V877" s="58">
        <v>0</v>
      </c>
      <c r="W877" s="58">
        <v>57859000</v>
      </c>
      <c r="X877" s="58">
        <v>360684000</v>
      </c>
      <c r="Y877" s="58">
        <v>1423000000</v>
      </c>
      <c r="Z877" s="58">
        <v>1783684000</v>
      </c>
      <c r="AA877" s="58">
        <v>16182000</v>
      </c>
      <c r="AB877" s="58">
        <v>0</v>
      </c>
      <c r="AC877" s="58">
        <v>16182000</v>
      </c>
      <c r="AD877" s="58">
        <v>459912000</v>
      </c>
      <c r="AE877" s="58">
        <v>0</v>
      </c>
      <c r="AF877" s="58">
        <v>459912000</v>
      </c>
      <c r="AG877" s="122"/>
      <c r="AH877" s="122"/>
      <c r="AI877" s="122"/>
      <c r="AJ877" s="121">
        <v>6146513</v>
      </c>
      <c r="AK877" s="66">
        <v>856230</v>
      </c>
      <c r="AL877" s="54">
        <v>44929</v>
      </c>
      <c r="AM877" s="116">
        <v>719</v>
      </c>
      <c r="AN877" s="42">
        <v>26568450</v>
      </c>
      <c r="AO877" s="125">
        <v>1941300</v>
      </c>
      <c r="AP877" s="59"/>
      <c r="AQ877" s="102">
        <v>23914563693920</v>
      </c>
      <c r="AR877" s="102">
        <v>115959506000</v>
      </c>
      <c r="AS877" s="102">
        <v>65623890000</v>
      </c>
      <c r="AT877" s="102">
        <v>140681875000</v>
      </c>
      <c r="AU877" s="55">
        <f t="shared" ref="AU877:AU896" si="758">G877+AJ877+AK877+AN877+AO877+AP877</f>
        <v>55778149</v>
      </c>
      <c r="AV877" s="99">
        <f t="shared" ref="AV877:AV896" si="759">AV876+AU877</f>
        <v>24264392636.595997</v>
      </c>
    </row>
    <row r="878" spans="1:48" ht="15">
      <c r="A878" s="28">
        <v>44963</v>
      </c>
      <c r="B878" s="56">
        <v>42882890000</v>
      </c>
      <c r="C878" s="56">
        <v>0</v>
      </c>
      <c r="D878" s="56">
        <v>0</v>
      </c>
      <c r="E878" s="56">
        <v>0</v>
      </c>
      <c r="F878" s="65">
        <v>42882890000</v>
      </c>
      <c r="G878" s="65">
        <v>11578380</v>
      </c>
      <c r="H878" s="58">
        <v>1618911000</v>
      </c>
      <c r="I878" s="58">
        <v>14735100000</v>
      </c>
      <c r="J878" s="58">
        <v>16354011000</v>
      </c>
      <c r="K878" s="58"/>
      <c r="L878" s="58">
        <v>21165897000</v>
      </c>
      <c r="M878" s="58">
        <v>0</v>
      </c>
      <c r="N878" s="58">
        <v>21165897000</v>
      </c>
      <c r="O878" s="58">
        <v>2132271000</v>
      </c>
      <c r="P878" s="58">
        <v>0</v>
      </c>
      <c r="Q878" s="58">
        <v>2132271000</v>
      </c>
      <c r="R878" s="58">
        <v>1120354000</v>
      </c>
      <c r="S878" s="58">
        <v>0</v>
      </c>
      <c r="T878" s="58">
        <v>1120354000</v>
      </c>
      <c r="U878" s="58">
        <v>171611000</v>
      </c>
      <c r="V878" s="58">
        <v>0</v>
      </c>
      <c r="W878" s="58">
        <v>171611000</v>
      </c>
      <c r="X878" s="58">
        <v>373761000</v>
      </c>
      <c r="Y878" s="58">
        <v>0</v>
      </c>
      <c r="Z878" s="58">
        <v>373761000</v>
      </c>
      <c r="AA878" s="58">
        <v>177990000</v>
      </c>
      <c r="AB878" s="58">
        <v>0</v>
      </c>
      <c r="AC878" s="58">
        <v>177990000</v>
      </c>
      <c r="AD878" s="58">
        <v>456500000</v>
      </c>
      <c r="AE878" s="58">
        <v>0</v>
      </c>
      <c r="AF878" s="58">
        <v>456500000</v>
      </c>
      <c r="AG878" s="122"/>
      <c r="AH878" s="122"/>
      <c r="AI878" s="122"/>
      <c r="AJ878" s="121">
        <v>5591786</v>
      </c>
      <c r="AK878" s="66">
        <v>433410</v>
      </c>
      <c r="AL878" s="54">
        <v>44929</v>
      </c>
      <c r="AM878" s="116">
        <v>787</v>
      </c>
      <c r="AN878" s="42">
        <v>9027000</v>
      </c>
      <c r="AO878" s="125">
        <v>2124900</v>
      </c>
      <c r="AP878" s="59"/>
      <c r="AQ878" s="102">
        <v>21324478597926</v>
      </c>
      <c r="AR878" s="102">
        <v>127352532000</v>
      </c>
      <c r="AS878" s="102">
        <v>57914395000</v>
      </c>
      <c r="AT878" s="102">
        <v>100797285000</v>
      </c>
      <c r="AU878" s="55">
        <f t="shared" si="758"/>
        <v>28755476</v>
      </c>
      <c r="AV878" s="99">
        <f t="shared" si="759"/>
        <v>24293148112.595997</v>
      </c>
    </row>
    <row r="879" spans="1:48" ht="15">
      <c r="A879" s="28">
        <v>44964</v>
      </c>
      <c r="B879" s="56">
        <v>45959140000</v>
      </c>
      <c r="C879" s="56">
        <v>0</v>
      </c>
      <c r="D879" s="56">
        <v>0</v>
      </c>
      <c r="E879" s="56">
        <v>0</v>
      </c>
      <c r="F879" s="65">
        <v>45959140000</v>
      </c>
      <c r="G879" s="65">
        <v>12408968</v>
      </c>
      <c r="H879" s="58">
        <v>11079113000</v>
      </c>
      <c r="I879" s="58">
        <v>40629300000</v>
      </c>
      <c r="J879" s="58">
        <v>51708413000</v>
      </c>
      <c r="K879" s="58"/>
      <c r="L879" s="58">
        <v>6366440000</v>
      </c>
      <c r="M879" s="58">
        <v>7073600000</v>
      </c>
      <c r="N879" s="58">
        <v>13440040000</v>
      </c>
      <c r="O879" s="58">
        <v>131851000</v>
      </c>
      <c r="P879" s="58">
        <v>0</v>
      </c>
      <c r="Q879" s="58">
        <v>131851000</v>
      </c>
      <c r="R879" s="58">
        <v>1340819000</v>
      </c>
      <c r="S879" s="58">
        <v>0</v>
      </c>
      <c r="T879" s="58">
        <v>1340819000</v>
      </c>
      <c r="U879" s="58">
        <v>116975000</v>
      </c>
      <c r="V879" s="58">
        <v>0</v>
      </c>
      <c r="W879" s="58">
        <v>116975000</v>
      </c>
      <c r="X879" s="58">
        <v>372786000</v>
      </c>
      <c r="Y879" s="58">
        <v>0</v>
      </c>
      <c r="Z879" s="58">
        <v>372786000</v>
      </c>
      <c r="AA879" s="58">
        <v>17518000</v>
      </c>
      <c r="AB879" s="58">
        <v>0</v>
      </c>
      <c r="AC879" s="58">
        <v>17518000</v>
      </c>
      <c r="AD879" s="58">
        <v>466824000</v>
      </c>
      <c r="AE879" s="58">
        <v>0</v>
      </c>
      <c r="AF879" s="58">
        <v>466824000</v>
      </c>
      <c r="AG879" s="122"/>
      <c r="AH879" s="122"/>
      <c r="AI879" s="122"/>
      <c r="AJ879" s="121">
        <v>10734893</v>
      </c>
      <c r="AK879" s="66">
        <v>575880</v>
      </c>
      <c r="AL879" s="54">
        <v>44929</v>
      </c>
      <c r="AM879" s="116">
        <v>730</v>
      </c>
      <c r="AN879" s="42">
        <v>8221200</v>
      </c>
      <c r="AO879" s="125">
        <v>1971000</v>
      </c>
      <c r="AP879" s="59"/>
      <c r="AQ879" s="102">
        <v>27208743509928</v>
      </c>
      <c r="AR879" s="102">
        <v>231386766000</v>
      </c>
      <c r="AS879" s="102">
        <v>85124226000</v>
      </c>
      <c r="AT879" s="102">
        <v>131083366000</v>
      </c>
      <c r="AU879" s="55">
        <f t="shared" si="758"/>
        <v>33911941</v>
      </c>
      <c r="AV879" s="99">
        <f t="shared" si="759"/>
        <v>24327060053.595997</v>
      </c>
    </row>
    <row r="880" spans="1:48" ht="15">
      <c r="A880" s="28">
        <v>44965</v>
      </c>
      <c r="B880" s="56">
        <v>48641650000</v>
      </c>
      <c r="C880" s="56">
        <v>0</v>
      </c>
      <c r="D880" s="56">
        <v>0</v>
      </c>
      <c r="E880" s="56">
        <v>0</v>
      </c>
      <c r="F880" s="65">
        <v>48641650000</v>
      </c>
      <c r="G880" s="65">
        <v>13133246</v>
      </c>
      <c r="H880" s="58">
        <v>6549553000</v>
      </c>
      <c r="I880" s="58">
        <v>14581800000</v>
      </c>
      <c r="J880" s="58">
        <v>21131353000</v>
      </c>
      <c r="K880" s="58"/>
      <c r="L880" s="58">
        <v>7713232000</v>
      </c>
      <c r="M880" s="58">
        <v>9285500000</v>
      </c>
      <c r="N880" s="58">
        <v>16998732000</v>
      </c>
      <c r="O880" s="58">
        <v>245190000</v>
      </c>
      <c r="P880" s="58">
        <v>0</v>
      </c>
      <c r="Q880" s="58">
        <v>245190000</v>
      </c>
      <c r="R880" s="58">
        <v>849815000</v>
      </c>
      <c r="S880" s="58">
        <v>0</v>
      </c>
      <c r="T880" s="58">
        <v>849815000</v>
      </c>
      <c r="U880" s="58">
        <v>21289000</v>
      </c>
      <c r="V880" s="58">
        <v>0</v>
      </c>
      <c r="W880" s="58">
        <v>21289000</v>
      </c>
      <c r="X880" s="58">
        <v>363518000</v>
      </c>
      <c r="Y880" s="58">
        <v>0</v>
      </c>
      <c r="Z880" s="58">
        <v>363518000</v>
      </c>
      <c r="AA880" s="58">
        <v>49912000</v>
      </c>
      <c r="AB880" s="58">
        <v>0</v>
      </c>
      <c r="AC880" s="58">
        <v>49912000</v>
      </c>
      <c r="AD880" s="58">
        <v>469519000</v>
      </c>
      <c r="AE880" s="58">
        <v>0</v>
      </c>
      <c r="AF880" s="58">
        <v>469519000</v>
      </c>
      <c r="AG880" s="122"/>
      <c r="AH880" s="122"/>
      <c r="AI880" s="122"/>
      <c r="AJ880" s="121">
        <v>6052413</v>
      </c>
      <c r="AK880" s="66">
        <v>417390</v>
      </c>
      <c r="AL880" s="54">
        <v>44929</v>
      </c>
      <c r="AM880" s="116">
        <v>621</v>
      </c>
      <c r="AN880" s="42">
        <v>8861250</v>
      </c>
      <c r="AO880" s="125">
        <v>1676700</v>
      </c>
      <c r="AP880" s="59"/>
      <c r="AQ880" s="102">
        <v>22421436309930</v>
      </c>
      <c r="AR880" s="102">
        <v>101198892000</v>
      </c>
      <c r="AS880" s="102">
        <v>65204928000</v>
      </c>
      <c r="AT880" s="102">
        <v>113846578000</v>
      </c>
      <c r="AU880" s="55">
        <f t="shared" si="758"/>
        <v>30140999</v>
      </c>
      <c r="AV880" s="99">
        <f t="shared" si="759"/>
        <v>24357201052.595997</v>
      </c>
    </row>
    <row r="881" spans="1:48" ht="15">
      <c r="A881" s="28">
        <v>44966</v>
      </c>
      <c r="B881" s="56">
        <v>59669700000</v>
      </c>
      <c r="C881" s="56">
        <v>0</v>
      </c>
      <c r="D881" s="56">
        <v>0</v>
      </c>
      <c r="E881" s="56">
        <v>0</v>
      </c>
      <c r="F881" s="65">
        <v>59669700000</v>
      </c>
      <c r="G881" s="65">
        <v>16110819</v>
      </c>
      <c r="H881" s="58">
        <v>1727669000</v>
      </c>
      <c r="I881" s="58">
        <v>12754000000</v>
      </c>
      <c r="J881" s="58">
        <v>14481669000</v>
      </c>
      <c r="K881" s="58"/>
      <c r="L881" s="58">
        <v>6384719000</v>
      </c>
      <c r="M881" s="58">
        <v>9256500000</v>
      </c>
      <c r="N881" s="58">
        <v>15641219000</v>
      </c>
      <c r="O881" s="58">
        <v>99945000</v>
      </c>
      <c r="P881" s="58">
        <v>0</v>
      </c>
      <c r="Q881" s="58">
        <v>99945000</v>
      </c>
      <c r="R881" s="58">
        <v>1008858000</v>
      </c>
      <c r="S881" s="58">
        <v>0</v>
      </c>
      <c r="T881" s="58">
        <v>1008858000</v>
      </c>
      <c r="U881" s="58">
        <v>25204000</v>
      </c>
      <c r="V881" s="58">
        <v>0</v>
      </c>
      <c r="W881" s="58">
        <v>25204000</v>
      </c>
      <c r="X881" s="58">
        <v>351304000</v>
      </c>
      <c r="Y881" s="58">
        <v>0</v>
      </c>
      <c r="Z881" s="58">
        <v>351304000</v>
      </c>
      <c r="AA881" s="58">
        <v>77850000</v>
      </c>
      <c r="AB881" s="58">
        <v>0</v>
      </c>
      <c r="AC881" s="58">
        <v>77850000</v>
      </c>
      <c r="AD881" s="58">
        <v>469448000</v>
      </c>
      <c r="AE881" s="58">
        <v>0</v>
      </c>
      <c r="AF881" s="58">
        <v>469448000</v>
      </c>
      <c r="AG881" s="122"/>
      <c r="AH881" s="122"/>
      <c r="AI881" s="122"/>
      <c r="AJ881" s="121">
        <v>5057550</v>
      </c>
      <c r="AK881" s="66">
        <v>694380</v>
      </c>
      <c r="AL881" s="54">
        <v>44929</v>
      </c>
      <c r="AM881" s="116">
        <v>670</v>
      </c>
      <c r="AN881" s="42">
        <v>7933050</v>
      </c>
      <c r="AO881" s="125">
        <v>1809000</v>
      </c>
      <c r="AP881" s="59"/>
      <c r="AQ881" s="102">
        <v>20933145065732</v>
      </c>
      <c r="AR881" s="102">
        <v>77570936000</v>
      </c>
      <c r="AS881" s="102">
        <v>55373597000</v>
      </c>
      <c r="AT881" s="102">
        <v>115043297000</v>
      </c>
      <c r="AU881" s="55">
        <f t="shared" si="758"/>
        <v>31604799</v>
      </c>
      <c r="AV881" s="99">
        <f t="shared" si="759"/>
        <v>24388805851.595997</v>
      </c>
    </row>
    <row r="882" spans="1:48" ht="15">
      <c r="A882" s="28">
        <v>44967</v>
      </c>
      <c r="B882" s="56">
        <v>57197055000</v>
      </c>
      <c r="C882" s="56">
        <v>0</v>
      </c>
      <c r="D882" s="56">
        <v>0</v>
      </c>
      <c r="E882" s="56">
        <v>0</v>
      </c>
      <c r="F882" s="65">
        <v>57197055000</v>
      </c>
      <c r="G882" s="65">
        <v>15443205</v>
      </c>
      <c r="H882" s="58">
        <v>6209689000</v>
      </c>
      <c r="I882" s="58">
        <v>0</v>
      </c>
      <c r="J882" s="58">
        <v>6209689000</v>
      </c>
      <c r="K882" s="58"/>
      <c r="L882" s="58">
        <v>10364844000</v>
      </c>
      <c r="M882" s="58">
        <v>2308500000</v>
      </c>
      <c r="N882" s="58">
        <v>12673344000</v>
      </c>
      <c r="O882" s="58">
        <v>129177000</v>
      </c>
      <c r="P882" s="58">
        <v>0</v>
      </c>
      <c r="Q882" s="58">
        <v>129177000</v>
      </c>
      <c r="R882" s="58">
        <v>1400229000</v>
      </c>
      <c r="S882" s="58">
        <v>0</v>
      </c>
      <c r="T882" s="58">
        <v>1400229000</v>
      </c>
      <c r="U882" s="58">
        <v>85730000</v>
      </c>
      <c r="V882" s="58">
        <v>0</v>
      </c>
      <c r="W882" s="58">
        <v>85730000</v>
      </c>
      <c r="X882" s="58">
        <v>360685000</v>
      </c>
      <c r="Y882" s="58">
        <v>0</v>
      </c>
      <c r="Z882" s="58">
        <v>360685000</v>
      </c>
      <c r="AA882" s="58">
        <v>25398000</v>
      </c>
      <c r="AB882" s="58">
        <v>0</v>
      </c>
      <c r="AC882" s="58">
        <v>25398000</v>
      </c>
      <c r="AD882" s="58">
        <v>449000000</v>
      </c>
      <c r="AE882" s="58">
        <v>0</v>
      </c>
      <c r="AF882" s="58">
        <v>449000000</v>
      </c>
      <c r="AG882" s="122"/>
      <c r="AH882" s="122"/>
      <c r="AI882" s="122"/>
      <c r="AJ882" s="121">
        <v>2470203</v>
      </c>
      <c r="AK882" s="66">
        <v>620610</v>
      </c>
      <c r="AL882" s="54">
        <v>44929</v>
      </c>
      <c r="AM882" s="116">
        <v>1005</v>
      </c>
      <c r="AN882" s="42">
        <v>17793900</v>
      </c>
      <c r="AO882" s="125">
        <v>2713500</v>
      </c>
      <c r="AP882" s="59"/>
      <c r="AQ882" s="102">
        <v>18464815642134</v>
      </c>
      <c r="AR882" s="102">
        <v>68844544000</v>
      </c>
      <c r="AS882" s="102">
        <v>24839152000</v>
      </c>
      <c r="AT882" s="102">
        <v>82036207000</v>
      </c>
      <c r="AU882" s="55">
        <f t="shared" si="758"/>
        <v>39041418</v>
      </c>
      <c r="AV882" s="99">
        <f t="shared" si="759"/>
        <v>24427847269.595997</v>
      </c>
    </row>
    <row r="883" spans="1:48" ht="15">
      <c r="A883" s="28">
        <v>44970</v>
      </c>
      <c r="B883" s="56">
        <v>75182915000</v>
      </c>
      <c r="C883" s="56">
        <v>0</v>
      </c>
      <c r="D883" s="56">
        <v>0</v>
      </c>
      <c r="E883" s="56">
        <v>0</v>
      </c>
      <c r="F883" s="65">
        <v>75182915000</v>
      </c>
      <c r="G883" s="65">
        <v>20299387</v>
      </c>
      <c r="H883" s="58">
        <v>2918026000</v>
      </c>
      <c r="I883" s="58">
        <v>7009800000</v>
      </c>
      <c r="J883" s="58">
        <v>9927826000</v>
      </c>
      <c r="K883" s="58"/>
      <c r="L883" s="58">
        <v>6394195000</v>
      </c>
      <c r="M883" s="58">
        <v>4498500000</v>
      </c>
      <c r="N883" s="58">
        <v>10892695000</v>
      </c>
      <c r="O883" s="58">
        <v>5813631000</v>
      </c>
      <c r="P883" s="58">
        <v>0</v>
      </c>
      <c r="Q883" s="58">
        <v>5813631000</v>
      </c>
      <c r="R883" s="58">
        <v>1345336000</v>
      </c>
      <c r="S883" s="58">
        <v>0</v>
      </c>
      <c r="T883" s="58">
        <v>1345336000</v>
      </c>
      <c r="U883" s="58">
        <v>52619000</v>
      </c>
      <c r="V883" s="58">
        <v>0</v>
      </c>
      <c r="W883" s="58">
        <v>52619000</v>
      </c>
      <c r="X883" s="58">
        <v>351651000</v>
      </c>
      <c r="Y883" s="58">
        <v>0</v>
      </c>
      <c r="Z883" s="58">
        <v>351651000</v>
      </c>
      <c r="AA883" s="58">
        <v>118921000</v>
      </c>
      <c r="AB883" s="58">
        <v>0</v>
      </c>
      <c r="AC883" s="58">
        <v>118921000</v>
      </c>
      <c r="AD883" s="58">
        <v>470918000</v>
      </c>
      <c r="AE883" s="58">
        <v>0</v>
      </c>
      <c r="AF883" s="58">
        <v>470918000</v>
      </c>
      <c r="AG883" s="122"/>
      <c r="AH883" s="122"/>
      <c r="AI883" s="122"/>
      <c r="AJ883" s="121">
        <v>3957746</v>
      </c>
      <c r="AK883" s="66">
        <v>617580</v>
      </c>
      <c r="AL883" s="54">
        <v>44929</v>
      </c>
      <c r="AM883" s="116">
        <v>2260</v>
      </c>
      <c r="AN883" s="42">
        <v>5125500</v>
      </c>
      <c r="AO883" s="125">
        <v>6102000</v>
      </c>
      <c r="AP883" s="59"/>
      <c r="AQ883" s="102">
        <v>24026129617940</v>
      </c>
      <c r="AR883" s="102">
        <v>85649882000</v>
      </c>
      <c r="AS883" s="102">
        <v>41621565000</v>
      </c>
      <c r="AT883" s="102">
        <v>116804480000</v>
      </c>
      <c r="AU883" s="55">
        <f t="shared" si="758"/>
        <v>36102213</v>
      </c>
      <c r="AV883" s="99">
        <f t="shared" si="759"/>
        <v>24463949482.595997</v>
      </c>
    </row>
    <row r="884" spans="1:48" ht="15">
      <c r="A884" s="28">
        <v>44971</v>
      </c>
      <c r="B884" s="56">
        <v>28188900000</v>
      </c>
      <c r="C884" s="56">
        <v>0</v>
      </c>
      <c r="D884" s="56">
        <v>0</v>
      </c>
      <c r="E884" s="56">
        <v>0</v>
      </c>
      <c r="F884" s="65">
        <v>28188900000</v>
      </c>
      <c r="G884" s="65">
        <v>7611003</v>
      </c>
      <c r="H884" s="58">
        <v>1498040000</v>
      </c>
      <c r="I884" s="58">
        <v>14146700000</v>
      </c>
      <c r="J884" s="58">
        <v>15644740000</v>
      </c>
      <c r="K884" s="58"/>
      <c r="L884" s="58">
        <v>25961883000</v>
      </c>
      <c r="M884" s="58">
        <v>4497000000</v>
      </c>
      <c r="N884" s="58">
        <v>30458883000</v>
      </c>
      <c r="O884" s="58">
        <v>142787000</v>
      </c>
      <c r="P884" s="58">
        <v>0</v>
      </c>
      <c r="Q884" s="58">
        <v>142787000</v>
      </c>
      <c r="R884" s="58">
        <v>958833000</v>
      </c>
      <c r="S884" s="58">
        <v>0</v>
      </c>
      <c r="T884" s="58">
        <v>958833000</v>
      </c>
      <c r="U884" s="58">
        <v>160795000</v>
      </c>
      <c r="V884" s="58">
        <v>0</v>
      </c>
      <c r="W884" s="58">
        <v>160795000</v>
      </c>
      <c r="X884" s="58">
        <v>343741000</v>
      </c>
      <c r="Y884" s="58">
        <v>0</v>
      </c>
      <c r="Z884" s="58">
        <v>343741000</v>
      </c>
      <c r="AA884" s="58">
        <v>12785000</v>
      </c>
      <c r="AB884" s="58">
        <v>0</v>
      </c>
      <c r="AC884" s="58">
        <v>12785000</v>
      </c>
      <c r="AD884" s="58">
        <v>440500000</v>
      </c>
      <c r="AE884" s="58">
        <v>0</v>
      </c>
      <c r="AF884" s="58">
        <v>440500000</v>
      </c>
      <c r="AG884" s="122"/>
      <c r="AH884" s="122"/>
      <c r="AI884" s="122"/>
      <c r="AJ884" s="121">
        <v>6543957</v>
      </c>
      <c r="AK884" s="66">
        <v>1110330</v>
      </c>
      <c r="AL884" s="54">
        <v>44929</v>
      </c>
      <c r="AM884" s="116">
        <v>973</v>
      </c>
      <c r="AN884" s="42">
        <v>4510950</v>
      </c>
      <c r="AO884" s="125">
        <v>2627100</v>
      </c>
      <c r="AP884" s="59"/>
      <c r="AQ884" s="102">
        <v>15003809609942</v>
      </c>
      <c r="AR884" s="102">
        <v>107598560000</v>
      </c>
      <c r="AS884" s="102">
        <v>67986748000</v>
      </c>
      <c r="AT884" s="102">
        <v>96175648000</v>
      </c>
      <c r="AU884" s="55">
        <f t="shared" si="758"/>
        <v>22403340</v>
      </c>
      <c r="AV884" s="99">
        <f t="shared" si="759"/>
        <v>24486352822.595997</v>
      </c>
    </row>
    <row r="885" spans="1:48" ht="15">
      <c r="A885" s="28">
        <v>44972</v>
      </c>
      <c r="B885" s="56">
        <v>30019945000</v>
      </c>
      <c r="C885" s="56">
        <v>0</v>
      </c>
      <c r="D885" s="56">
        <v>0</v>
      </c>
      <c r="E885" s="56">
        <v>0</v>
      </c>
      <c r="F885" s="65">
        <v>30019945000</v>
      </c>
      <c r="G885" s="65">
        <v>8105385</v>
      </c>
      <c r="H885" s="58">
        <v>1768000</v>
      </c>
      <c r="I885" s="58">
        <v>31991000000</v>
      </c>
      <c r="J885" s="58">
        <v>31992768000</v>
      </c>
      <c r="K885" s="58"/>
      <c r="L885" s="58">
        <v>13941854000</v>
      </c>
      <c r="M885" s="58">
        <v>4527500000</v>
      </c>
      <c r="N885" s="58">
        <v>18469354000</v>
      </c>
      <c r="O885" s="58">
        <v>242672000</v>
      </c>
      <c r="P885" s="58">
        <v>0</v>
      </c>
      <c r="Q885" s="58">
        <v>242672000</v>
      </c>
      <c r="R885" s="58">
        <v>823776000</v>
      </c>
      <c r="S885" s="58">
        <v>0</v>
      </c>
      <c r="T885" s="58">
        <v>823776000</v>
      </c>
      <c r="U885" s="58">
        <v>63120000</v>
      </c>
      <c r="V885" s="58">
        <v>0</v>
      </c>
      <c r="W885" s="58">
        <v>63120000</v>
      </c>
      <c r="X885" s="58">
        <v>379122000</v>
      </c>
      <c r="Y885" s="58">
        <v>0</v>
      </c>
      <c r="Z885" s="58">
        <v>379122000</v>
      </c>
      <c r="AA885" s="58">
        <v>29826000</v>
      </c>
      <c r="AB885" s="58">
        <v>0</v>
      </c>
      <c r="AC885" s="58">
        <v>29826000</v>
      </c>
      <c r="AD885" s="58">
        <v>470345000</v>
      </c>
      <c r="AE885" s="58">
        <v>0</v>
      </c>
      <c r="AF885" s="58">
        <v>470345000</v>
      </c>
      <c r="AG885" s="122"/>
      <c r="AH885" s="122"/>
      <c r="AI885" s="122"/>
      <c r="AJ885" s="121">
        <v>8296198</v>
      </c>
      <c r="AK885" s="66">
        <v>456690</v>
      </c>
      <c r="AL885" s="54">
        <v>44929</v>
      </c>
      <c r="AM885" s="116">
        <v>644</v>
      </c>
      <c r="AN885" s="42">
        <v>6142950</v>
      </c>
      <c r="AO885" s="125">
        <v>1738800</v>
      </c>
      <c r="AP885" s="59"/>
      <c r="AQ885" s="102">
        <v>22455770259944</v>
      </c>
      <c r="AR885" s="102">
        <v>208583710000</v>
      </c>
      <c r="AS885" s="102">
        <v>90169683000</v>
      </c>
      <c r="AT885" s="102">
        <v>120189628000</v>
      </c>
      <c r="AU885" s="55">
        <f t="shared" si="758"/>
        <v>24740023</v>
      </c>
      <c r="AV885" s="99">
        <f t="shared" si="759"/>
        <v>24511092845.595997</v>
      </c>
    </row>
    <row r="886" spans="1:48" ht="15">
      <c r="A886" s="28">
        <v>44973</v>
      </c>
      <c r="B886" s="56">
        <v>59289505000</v>
      </c>
      <c r="C886" s="56">
        <v>41629900000</v>
      </c>
      <c r="D886" s="56">
        <v>0</v>
      </c>
      <c r="E886" s="56">
        <v>0</v>
      </c>
      <c r="F886" s="65">
        <v>100919405000</v>
      </c>
      <c r="G886" s="65">
        <v>27248239</v>
      </c>
      <c r="H886" s="58">
        <v>13164608000</v>
      </c>
      <c r="I886" s="58">
        <v>19617100000</v>
      </c>
      <c r="J886" s="58">
        <v>32781708000</v>
      </c>
      <c r="K886" s="58"/>
      <c r="L886" s="58">
        <v>17098000000</v>
      </c>
      <c r="M886" s="58">
        <v>6792000000</v>
      </c>
      <c r="N886" s="58">
        <v>23890000000</v>
      </c>
      <c r="O886" s="58">
        <v>538024000</v>
      </c>
      <c r="P886" s="58">
        <v>0</v>
      </c>
      <c r="Q886" s="58">
        <v>538024000</v>
      </c>
      <c r="R886" s="58">
        <v>1251267000</v>
      </c>
      <c r="S886" s="58">
        <v>0</v>
      </c>
      <c r="T886" s="58">
        <v>1251267000</v>
      </c>
      <c r="U886" s="58">
        <v>71181000</v>
      </c>
      <c r="V886" s="58">
        <v>0</v>
      </c>
      <c r="W886" s="58">
        <v>71181000</v>
      </c>
      <c r="X886" s="58">
        <v>342551000</v>
      </c>
      <c r="Y886" s="58">
        <v>0</v>
      </c>
      <c r="Z886" s="58">
        <v>342551000</v>
      </c>
      <c r="AA886" s="58">
        <v>12992000</v>
      </c>
      <c r="AB886" s="58">
        <v>0</v>
      </c>
      <c r="AC886" s="58">
        <v>12992000</v>
      </c>
      <c r="AD886" s="58">
        <v>456936000</v>
      </c>
      <c r="AE886" s="58">
        <v>0</v>
      </c>
      <c r="AF886" s="58">
        <v>456936000</v>
      </c>
      <c r="AG886" s="122"/>
      <c r="AH886" s="122"/>
      <c r="AI886" s="122"/>
      <c r="AJ886" s="121">
        <v>8310678</v>
      </c>
      <c r="AK886" s="66">
        <v>501030</v>
      </c>
      <c r="AL886" s="54">
        <v>44929</v>
      </c>
      <c r="AM886" s="116">
        <v>1846</v>
      </c>
      <c r="AN886" s="42">
        <v>6984450</v>
      </c>
      <c r="AO886" s="125">
        <v>4984200</v>
      </c>
      <c r="AP886" s="59"/>
      <c r="AQ886" s="102">
        <v>20329554751746</v>
      </c>
      <c r="AR886" s="102">
        <v>154175628000</v>
      </c>
      <c r="AS886" s="102">
        <v>86933359000</v>
      </c>
      <c r="AT886" s="102">
        <v>187852764000</v>
      </c>
      <c r="AU886" s="55">
        <f t="shared" si="758"/>
        <v>48028597</v>
      </c>
      <c r="AV886" s="99">
        <f t="shared" si="759"/>
        <v>24559121442.595997</v>
      </c>
    </row>
    <row r="887" spans="1:48" ht="15">
      <c r="A887" s="28">
        <v>44974</v>
      </c>
      <c r="B887" s="56">
        <v>101310410000</v>
      </c>
      <c r="C887" s="56">
        <v>0</v>
      </c>
      <c r="D887" s="56">
        <v>0</v>
      </c>
      <c r="E887" s="56">
        <v>0</v>
      </c>
      <c r="F887" s="65">
        <v>101310410000</v>
      </c>
      <c r="G887" s="65">
        <v>27353811</v>
      </c>
      <c r="H887" s="58">
        <v>6714805000</v>
      </c>
      <c r="I887" s="58">
        <v>23289800000</v>
      </c>
      <c r="J887" s="58">
        <v>30004605000</v>
      </c>
      <c r="K887" s="58"/>
      <c r="L887" s="58">
        <v>13679905000</v>
      </c>
      <c r="M887" s="58">
        <v>13670500000</v>
      </c>
      <c r="N887" s="58">
        <v>27350405000</v>
      </c>
      <c r="O887" s="58">
        <v>464443000</v>
      </c>
      <c r="P887" s="58">
        <v>0</v>
      </c>
      <c r="Q887" s="58">
        <v>464443000</v>
      </c>
      <c r="R887" s="58">
        <v>688285000</v>
      </c>
      <c r="S887" s="58">
        <v>0</v>
      </c>
      <c r="T887" s="58">
        <v>688285000</v>
      </c>
      <c r="U887" s="58">
        <v>168217000</v>
      </c>
      <c r="V887" s="58">
        <v>0</v>
      </c>
      <c r="W887" s="58">
        <v>168217000</v>
      </c>
      <c r="X887" s="58">
        <v>372368000</v>
      </c>
      <c r="Y887" s="58">
        <v>0</v>
      </c>
      <c r="Z887" s="58">
        <v>372368000</v>
      </c>
      <c r="AA887" s="58">
        <v>17094000</v>
      </c>
      <c r="AB887" s="58">
        <v>0</v>
      </c>
      <c r="AC887" s="58">
        <v>17094000</v>
      </c>
      <c r="AD887" s="58">
        <v>468667000</v>
      </c>
      <c r="AE887" s="58">
        <v>0</v>
      </c>
      <c r="AF887" s="58">
        <v>468667000</v>
      </c>
      <c r="AG887" s="122"/>
      <c r="AH887" s="122"/>
      <c r="AI887" s="122"/>
      <c r="AJ887" s="121">
        <v>9090823</v>
      </c>
      <c r="AK887" s="66">
        <v>896310</v>
      </c>
      <c r="AL887" s="54">
        <v>44929</v>
      </c>
      <c r="AM887" s="116">
        <v>840</v>
      </c>
      <c r="AN887" s="42">
        <v>18138150</v>
      </c>
      <c r="AO887" s="125">
        <v>2268000</v>
      </c>
      <c r="AP887" s="59"/>
      <c r="AQ887" s="102">
        <v>18027288264348</v>
      </c>
      <c r="AR887" s="102">
        <v>148300440000</v>
      </c>
      <c r="AS887" s="102">
        <v>97679184000</v>
      </c>
      <c r="AT887" s="102">
        <v>198989594000</v>
      </c>
      <c r="AU887" s="55">
        <f t="shared" si="758"/>
        <v>57747094</v>
      </c>
      <c r="AV887" s="99">
        <f t="shared" si="759"/>
        <v>24616868536.595997</v>
      </c>
    </row>
    <row r="888" spans="1:48" ht="15">
      <c r="A888" s="28">
        <v>44977</v>
      </c>
      <c r="B888" s="56">
        <v>144449880000</v>
      </c>
      <c r="C888" s="56">
        <v>0</v>
      </c>
      <c r="D888" s="56">
        <v>0</v>
      </c>
      <c r="E888" s="56">
        <v>0</v>
      </c>
      <c r="F888" s="65">
        <v>144449880000</v>
      </c>
      <c r="G888" s="65">
        <v>39001468</v>
      </c>
      <c r="H888" s="58">
        <v>2363314000</v>
      </c>
      <c r="I888" s="58">
        <v>27437500000</v>
      </c>
      <c r="J888" s="58">
        <v>29800814000</v>
      </c>
      <c r="K888" s="58"/>
      <c r="L888" s="58">
        <v>27934919000</v>
      </c>
      <c r="M888" s="58">
        <v>6936000000</v>
      </c>
      <c r="N888" s="58">
        <v>34870919000</v>
      </c>
      <c r="O888" s="58">
        <v>3824923000</v>
      </c>
      <c r="P888" s="58">
        <v>0</v>
      </c>
      <c r="Q888" s="58">
        <v>3824923000</v>
      </c>
      <c r="R888" s="58">
        <v>1001568000</v>
      </c>
      <c r="S888" s="58">
        <v>0</v>
      </c>
      <c r="T888" s="58">
        <v>1001568000</v>
      </c>
      <c r="U888" s="58">
        <v>114373000</v>
      </c>
      <c r="V888" s="58">
        <v>0</v>
      </c>
      <c r="W888" s="58">
        <v>114373000</v>
      </c>
      <c r="X888" s="58">
        <v>361107000</v>
      </c>
      <c r="Y888" s="58">
        <v>0</v>
      </c>
      <c r="Z888" s="58">
        <v>361107000</v>
      </c>
      <c r="AA888" s="58">
        <v>64097000</v>
      </c>
      <c r="AB888" s="58">
        <v>0</v>
      </c>
      <c r="AC888" s="58">
        <v>64097000</v>
      </c>
      <c r="AD888" s="58">
        <v>459849000</v>
      </c>
      <c r="AE888" s="58">
        <v>0</v>
      </c>
      <c r="AF888" s="58">
        <v>459849000</v>
      </c>
      <c r="AG888" s="122"/>
      <c r="AH888" s="122"/>
      <c r="AI888" s="122"/>
      <c r="AJ888" s="121">
        <v>10088638</v>
      </c>
      <c r="AK888" s="66">
        <v>419640</v>
      </c>
      <c r="AL888" s="54">
        <v>44929</v>
      </c>
      <c r="AM888" s="116">
        <v>1819</v>
      </c>
      <c r="AN888" s="42">
        <v>9669600</v>
      </c>
      <c r="AO888" s="125">
        <v>4911300</v>
      </c>
      <c r="AP888" s="59"/>
      <c r="AQ888" s="102">
        <v>27316366591954</v>
      </c>
      <c r="AR888" s="102">
        <v>234642782000</v>
      </c>
      <c r="AS888" s="102">
        <v>106108224000</v>
      </c>
      <c r="AT888" s="102">
        <v>250558104000</v>
      </c>
      <c r="AU888" s="55">
        <f t="shared" si="758"/>
        <v>64090646</v>
      </c>
      <c r="AV888" s="99">
        <f t="shared" si="759"/>
        <v>24680959182.595997</v>
      </c>
    </row>
    <row r="889" spans="1:48" ht="15">
      <c r="A889" s="28">
        <v>44978</v>
      </c>
      <c r="B889" s="56">
        <v>62476295000</v>
      </c>
      <c r="C889" s="56">
        <v>0</v>
      </c>
      <c r="D889" s="56">
        <v>0</v>
      </c>
      <c r="E889" s="56">
        <v>0</v>
      </c>
      <c r="F889" s="65">
        <v>62476295000</v>
      </c>
      <c r="G889" s="65">
        <v>16868600</v>
      </c>
      <c r="H889" s="58">
        <v>3787301000</v>
      </c>
      <c r="I889" s="58">
        <v>37023200000</v>
      </c>
      <c r="J889" s="58">
        <v>40810501000</v>
      </c>
      <c r="K889" s="58"/>
      <c r="L889" s="58">
        <v>19039981000</v>
      </c>
      <c r="M889" s="58">
        <v>30581500000</v>
      </c>
      <c r="N889" s="58">
        <v>49621481000</v>
      </c>
      <c r="O889" s="58">
        <v>3619251000</v>
      </c>
      <c r="P889" s="58">
        <v>0</v>
      </c>
      <c r="Q889" s="58">
        <v>3619251000</v>
      </c>
      <c r="R889" s="58">
        <v>1279777000</v>
      </c>
      <c r="S889" s="58">
        <v>0</v>
      </c>
      <c r="T889" s="58">
        <v>1279777000</v>
      </c>
      <c r="U889" s="58">
        <v>204923000</v>
      </c>
      <c r="V889" s="58">
        <v>0</v>
      </c>
      <c r="W889" s="58">
        <v>204923000</v>
      </c>
      <c r="X889" s="58">
        <v>14760021000</v>
      </c>
      <c r="Y889" s="58">
        <v>0</v>
      </c>
      <c r="Z889" s="58">
        <v>14760021000</v>
      </c>
      <c r="AA889" s="58">
        <v>30435000</v>
      </c>
      <c r="AB889" s="58">
        <v>0</v>
      </c>
      <c r="AC889" s="58">
        <v>30435000</v>
      </c>
      <c r="AD889" s="58">
        <v>461242000</v>
      </c>
      <c r="AE889" s="58">
        <v>0</v>
      </c>
      <c r="AF889" s="58">
        <v>461242000</v>
      </c>
      <c r="AG889" s="122"/>
      <c r="AH889" s="122"/>
      <c r="AI889" s="122"/>
      <c r="AJ889" s="121">
        <v>16832603</v>
      </c>
      <c r="AK889" s="66">
        <v>784590</v>
      </c>
      <c r="AL889" s="54">
        <v>44929</v>
      </c>
      <c r="AM889" s="116">
        <v>1204</v>
      </c>
      <c r="AN889" s="42">
        <v>11546400</v>
      </c>
      <c r="AO889" s="125">
        <v>3250800</v>
      </c>
      <c r="AP889" s="59"/>
      <c r="AQ889" s="102">
        <v>27742562161956</v>
      </c>
      <c r="AR889" s="102">
        <v>361530314000</v>
      </c>
      <c r="AS889" s="102">
        <v>193886931000</v>
      </c>
      <c r="AT889" s="102">
        <v>256363226000</v>
      </c>
      <c r="AU889" s="55">
        <f t="shared" si="758"/>
        <v>49282993</v>
      </c>
      <c r="AV889" s="99">
        <f t="shared" si="759"/>
        <v>24730242175.595997</v>
      </c>
    </row>
    <row r="890" spans="1:48" ht="15">
      <c r="A890" s="28">
        <v>44979</v>
      </c>
      <c r="B890" s="56">
        <v>52367455000</v>
      </c>
      <c r="C890" s="56">
        <v>0</v>
      </c>
      <c r="D890" s="56">
        <v>0</v>
      </c>
      <c r="E890" s="56">
        <v>0</v>
      </c>
      <c r="F890" s="65">
        <v>52367455000</v>
      </c>
      <c r="G890" s="65">
        <v>14139213</v>
      </c>
      <c r="H890" s="58">
        <v>4449412000</v>
      </c>
      <c r="I890" s="58">
        <v>1823400000</v>
      </c>
      <c r="J890" s="58">
        <v>6272812000</v>
      </c>
      <c r="K890" s="58"/>
      <c r="L890" s="58">
        <v>7228602000</v>
      </c>
      <c r="M890" s="58">
        <v>2316000000</v>
      </c>
      <c r="N890" s="58">
        <v>9544602000</v>
      </c>
      <c r="O890" s="58">
        <v>147832000</v>
      </c>
      <c r="P890" s="58">
        <v>0</v>
      </c>
      <c r="Q890" s="58">
        <v>147832000</v>
      </c>
      <c r="R890" s="58">
        <v>1925861000</v>
      </c>
      <c r="S890" s="58">
        <v>0</v>
      </c>
      <c r="T890" s="58">
        <v>1925861000</v>
      </c>
      <c r="U890" s="58">
        <v>63246000</v>
      </c>
      <c r="V890" s="58">
        <v>0</v>
      </c>
      <c r="W890" s="58">
        <v>63246000</v>
      </c>
      <c r="X890" s="58">
        <v>353933000</v>
      </c>
      <c r="Y890" s="58">
        <v>0</v>
      </c>
      <c r="Z890" s="58">
        <v>353933000</v>
      </c>
      <c r="AA890" s="58">
        <v>97130000</v>
      </c>
      <c r="AB890" s="58">
        <v>0</v>
      </c>
      <c r="AC890" s="58">
        <v>97130000</v>
      </c>
      <c r="AD890" s="58">
        <v>452603000</v>
      </c>
      <c r="AE890" s="58">
        <v>0</v>
      </c>
      <c r="AF890" s="58">
        <v>452603000</v>
      </c>
      <c r="AG890" s="122"/>
      <c r="AH890" s="122"/>
      <c r="AI890" s="122"/>
      <c r="AJ890" s="121">
        <v>2334703</v>
      </c>
      <c r="AK890" s="66">
        <v>448890</v>
      </c>
      <c r="AL890" s="54">
        <v>44929</v>
      </c>
      <c r="AM890" s="116">
        <v>637</v>
      </c>
      <c r="AN890" s="42">
        <v>11197050</v>
      </c>
      <c r="AO890" s="125">
        <v>1719900</v>
      </c>
      <c r="AP890" s="59"/>
      <c r="AQ890" s="102">
        <v>30812610078358</v>
      </c>
      <c r="AR890" s="102">
        <v>106058732000</v>
      </c>
      <c r="AS890" s="102">
        <v>24197519000</v>
      </c>
      <c r="AT890" s="102">
        <v>76564974000</v>
      </c>
      <c r="AU890" s="55">
        <f t="shared" si="758"/>
        <v>29839756</v>
      </c>
      <c r="AV890" s="99">
        <f t="shared" si="759"/>
        <v>24760081931.595997</v>
      </c>
    </row>
    <row r="891" spans="1:48" ht="15">
      <c r="A891" s="28">
        <v>44980</v>
      </c>
      <c r="B891" s="56">
        <v>73729815000</v>
      </c>
      <c r="C891" s="56">
        <v>16249451100</v>
      </c>
      <c r="D891" s="56">
        <v>0</v>
      </c>
      <c r="E891" s="56">
        <v>0</v>
      </c>
      <c r="F891" s="65">
        <v>89979266100</v>
      </c>
      <c r="G891" s="65">
        <v>24294402</v>
      </c>
      <c r="H891" s="58">
        <v>6204597000</v>
      </c>
      <c r="I891" s="58">
        <v>72847500000</v>
      </c>
      <c r="J891" s="58">
        <v>79052097000</v>
      </c>
      <c r="K891" s="58"/>
      <c r="L891" s="58">
        <v>22498875000</v>
      </c>
      <c r="M891" s="58">
        <v>74707000000</v>
      </c>
      <c r="N891" s="58">
        <v>97205875000</v>
      </c>
      <c r="O891" s="58">
        <v>6112019000</v>
      </c>
      <c r="P891" s="58">
        <v>0</v>
      </c>
      <c r="Q891" s="58">
        <v>6112019000</v>
      </c>
      <c r="R891" s="58">
        <v>1456773000</v>
      </c>
      <c r="S891" s="58">
        <v>0</v>
      </c>
      <c r="T891" s="58">
        <v>1456773000</v>
      </c>
      <c r="U891" s="58">
        <v>93329000</v>
      </c>
      <c r="V891" s="58">
        <v>0</v>
      </c>
      <c r="W891" s="58">
        <v>93329000</v>
      </c>
      <c r="X891" s="58">
        <v>13896036000</v>
      </c>
      <c r="Y891" s="58">
        <v>0</v>
      </c>
      <c r="Z891" s="58">
        <v>13896036000</v>
      </c>
      <c r="AA891" s="58">
        <v>87162000</v>
      </c>
      <c r="AB891" s="58">
        <v>0</v>
      </c>
      <c r="AC891" s="58">
        <v>87162000</v>
      </c>
      <c r="AD891" s="58">
        <v>440380000</v>
      </c>
      <c r="AE891" s="58">
        <v>0</v>
      </c>
      <c r="AF891" s="58">
        <v>440380000</v>
      </c>
      <c r="AG891" s="122"/>
      <c r="AH891" s="122"/>
      <c r="AI891" s="122"/>
      <c r="AJ891" s="121">
        <v>32045040</v>
      </c>
      <c r="AK891" s="66">
        <v>1317000</v>
      </c>
      <c r="AL891" s="54">
        <v>44929</v>
      </c>
      <c r="AM891" s="116">
        <v>2053</v>
      </c>
      <c r="AN891" s="42">
        <v>11801400</v>
      </c>
      <c r="AO891" s="125">
        <v>5543100</v>
      </c>
      <c r="AP891" s="59"/>
      <c r="AQ891" s="102">
        <v>27795109667960</v>
      </c>
      <c r="AR891" s="102">
        <v>599307194000</v>
      </c>
      <c r="AS891" s="102">
        <v>313057271000</v>
      </c>
      <c r="AT891" s="102">
        <v>403036537100</v>
      </c>
      <c r="AU891" s="55">
        <f t="shared" si="758"/>
        <v>75000942</v>
      </c>
      <c r="AV891" s="99">
        <f t="shared" si="759"/>
        <v>24835082873.595997</v>
      </c>
    </row>
    <row r="892" spans="1:48" ht="15">
      <c r="A892" s="28">
        <v>44981</v>
      </c>
      <c r="B892" s="56">
        <v>125305440000</v>
      </c>
      <c r="C892" s="56">
        <v>0</v>
      </c>
      <c r="D892" s="56">
        <v>0</v>
      </c>
      <c r="E892" s="56">
        <v>0</v>
      </c>
      <c r="F892" s="65">
        <v>125305440000</v>
      </c>
      <c r="G892" s="65">
        <v>33832469</v>
      </c>
      <c r="H892" s="58">
        <v>1510720000</v>
      </c>
      <c r="I892" s="58">
        <v>38768272500</v>
      </c>
      <c r="J892" s="58">
        <v>40278992500</v>
      </c>
      <c r="K892" s="58"/>
      <c r="L892" s="58">
        <v>7350440000</v>
      </c>
      <c r="M892" s="58">
        <v>6760000000</v>
      </c>
      <c r="N892" s="58">
        <v>14110440000</v>
      </c>
      <c r="O892" s="58">
        <v>3037406000</v>
      </c>
      <c r="P892" s="58">
        <v>0</v>
      </c>
      <c r="Q892" s="58">
        <v>3037406000</v>
      </c>
      <c r="R892" s="58">
        <v>1583631000</v>
      </c>
      <c r="S892" s="58">
        <v>0</v>
      </c>
      <c r="T892" s="58">
        <v>1583631000</v>
      </c>
      <c r="U892" s="58">
        <v>101376000</v>
      </c>
      <c r="V892" s="58">
        <v>0</v>
      </c>
      <c r="W892" s="58">
        <v>101376000</v>
      </c>
      <c r="X892" s="58">
        <v>59514104000</v>
      </c>
      <c r="Y892" s="58">
        <v>0</v>
      </c>
      <c r="Z892" s="58">
        <v>59514104000</v>
      </c>
      <c r="AA892" s="58">
        <v>41236000</v>
      </c>
      <c r="AB892" s="58">
        <v>0</v>
      </c>
      <c r="AC892" s="58">
        <v>41236000</v>
      </c>
      <c r="AD892" s="58">
        <v>444741000</v>
      </c>
      <c r="AE892" s="58">
        <v>0</v>
      </c>
      <c r="AF892" s="58">
        <v>444741000</v>
      </c>
      <c r="AG892" s="122"/>
      <c r="AH892" s="122"/>
      <c r="AI892" s="122"/>
      <c r="AJ892" s="121">
        <v>16142124</v>
      </c>
      <c r="AK892" s="66">
        <v>1643070</v>
      </c>
      <c r="AL892" s="54">
        <v>44929</v>
      </c>
      <c r="AM892" s="116">
        <v>1412</v>
      </c>
      <c r="AN892" s="42">
        <v>32436000</v>
      </c>
      <c r="AO892" s="125">
        <v>3812400</v>
      </c>
      <c r="AP892" s="59"/>
      <c r="AQ892" s="102">
        <v>15356147042162</v>
      </c>
      <c r="AR892" s="102">
        <v>258445672000</v>
      </c>
      <c r="AS892" s="102">
        <v>224971899000</v>
      </c>
      <c r="AT892" s="102">
        <v>350277339000</v>
      </c>
      <c r="AU892" s="55">
        <f t="shared" si="758"/>
        <v>87866063</v>
      </c>
      <c r="AV892" s="99">
        <f t="shared" si="759"/>
        <v>24922948936.595997</v>
      </c>
    </row>
    <row r="893" spans="1:48" ht="15">
      <c r="A893" s="28">
        <v>44984</v>
      </c>
      <c r="B893" s="56">
        <v>123472050000</v>
      </c>
      <c r="C893" s="56">
        <v>13807270000</v>
      </c>
      <c r="D893" s="56">
        <v>0</v>
      </c>
      <c r="E893" s="56">
        <v>4113580000</v>
      </c>
      <c r="F893" s="65">
        <v>141392900000</v>
      </c>
      <c r="G893" s="65">
        <v>38176083</v>
      </c>
      <c r="H893" s="58">
        <v>2756342000</v>
      </c>
      <c r="I893" s="58">
        <v>22424200000</v>
      </c>
      <c r="J893" s="58">
        <v>25180542000</v>
      </c>
      <c r="K893" s="58"/>
      <c r="L893" s="58">
        <v>41576654000</v>
      </c>
      <c r="M893" s="58">
        <v>92218500000</v>
      </c>
      <c r="N893" s="58">
        <v>133795154000</v>
      </c>
      <c r="O893" s="58">
        <v>14431465000</v>
      </c>
      <c r="P893" s="58">
        <v>0</v>
      </c>
      <c r="Q893" s="58">
        <v>14431465000</v>
      </c>
      <c r="R893" s="58">
        <v>1255062000</v>
      </c>
      <c r="S893" s="58">
        <v>0</v>
      </c>
      <c r="T893" s="58">
        <v>1255062000</v>
      </c>
      <c r="U893" s="58">
        <v>100702000</v>
      </c>
      <c r="V893" s="58">
        <v>0</v>
      </c>
      <c r="W893" s="58">
        <v>100702000</v>
      </c>
      <c r="X893" s="58">
        <v>31373638000</v>
      </c>
      <c r="Y893" s="58">
        <v>0</v>
      </c>
      <c r="Z893" s="58">
        <v>31373638000</v>
      </c>
      <c r="AA893" s="58">
        <v>42580000</v>
      </c>
      <c r="AB893" s="58">
        <v>0</v>
      </c>
      <c r="AC893" s="58">
        <v>42580000</v>
      </c>
      <c r="AD893" s="58">
        <v>429858000</v>
      </c>
      <c r="AE893" s="58">
        <v>0</v>
      </c>
      <c r="AF893" s="58">
        <v>429858000</v>
      </c>
      <c r="AG893" s="122"/>
      <c r="AH893" s="122"/>
      <c r="AI893" s="122"/>
      <c r="AJ893" s="121">
        <v>30568047</v>
      </c>
      <c r="AK893" s="66">
        <v>1781490</v>
      </c>
      <c r="AL893" s="54">
        <v>44929</v>
      </c>
      <c r="AM893" s="116">
        <v>2813</v>
      </c>
      <c r="AN893" s="42">
        <v>13201350</v>
      </c>
      <c r="AO893" s="125">
        <v>7595100</v>
      </c>
      <c r="AP893" s="59"/>
      <c r="AQ893" s="102">
        <v>21380512849968</v>
      </c>
      <c r="AR893" s="102">
        <v>804835714000</v>
      </c>
      <c r="AS893" s="102">
        <v>353413601000</v>
      </c>
      <c r="AT893" s="102">
        <v>494806501000</v>
      </c>
      <c r="AU893" s="55">
        <f t="shared" si="758"/>
        <v>91322070</v>
      </c>
      <c r="AV893" s="99">
        <f t="shared" si="759"/>
        <v>25014271006.595997</v>
      </c>
    </row>
    <row r="894" spans="1:48" ht="15">
      <c r="A894" s="28">
        <v>44985</v>
      </c>
      <c r="B894" s="56">
        <v>52344670000</v>
      </c>
      <c r="C894" s="56">
        <v>20504908000</v>
      </c>
      <c r="D894" s="56">
        <v>0</v>
      </c>
      <c r="E894" s="56">
        <v>5424927900</v>
      </c>
      <c r="F894" s="65">
        <v>78274505900</v>
      </c>
      <c r="G894" s="65">
        <v>21134117</v>
      </c>
      <c r="H894" s="58">
        <v>13796000</v>
      </c>
      <c r="I894" s="58">
        <v>0</v>
      </c>
      <c r="J894" s="58">
        <v>13796000</v>
      </c>
      <c r="K894" s="58"/>
      <c r="L894" s="58">
        <v>4621772000</v>
      </c>
      <c r="M894" s="58">
        <v>0</v>
      </c>
      <c r="N894" s="58">
        <v>4621772000</v>
      </c>
      <c r="O894" s="58">
        <v>67315000</v>
      </c>
      <c r="P894" s="58">
        <v>0</v>
      </c>
      <c r="Q894" s="58">
        <v>67315000</v>
      </c>
      <c r="R894" s="58">
        <v>1093637000</v>
      </c>
      <c r="S894" s="58">
        <v>0</v>
      </c>
      <c r="T894" s="58">
        <v>1093637000</v>
      </c>
      <c r="U894" s="58">
        <v>42641000</v>
      </c>
      <c r="V894" s="58">
        <v>0</v>
      </c>
      <c r="W894" s="58">
        <v>42641000</v>
      </c>
      <c r="X894" s="58">
        <v>359382000</v>
      </c>
      <c r="Y894" s="58">
        <v>0</v>
      </c>
      <c r="Z894" s="58">
        <v>359382000</v>
      </c>
      <c r="AA894" s="58">
        <v>78580000</v>
      </c>
      <c r="AB894" s="58">
        <v>0</v>
      </c>
      <c r="AC894" s="58">
        <v>78580000</v>
      </c>
      <c r="AD894" s="58">
        <v>464748000</v>
      </c>
      <c r="AE894" s="58">
        <v>0</v>
      </c>
      <c r="AF894" s="58">
        <v>464748000</v>
      </c>
      <c r="AG894" s="122"/>
      <c r="AH894" s="122"/>
      <c r="AI894" s="122"/>
      <c r="AJ894" s="121">
        <v>728122</v>
      </c>
      <c r="AK894" s="66">
        <v>337320</v>
      </c>
      <c r="AL894" s="54">
        <v>44929</v>
      </c>
      <c r="AM894" s="116">
        <v>735</v>
      </c>
      <c r="AN894" s="42">
        <v>12581700</v>
      </c>
      <c r="AO894" s="125">
        <v>1984500</v>
      </c>
      <c r="AP894" s="59"/>
      <c r="AQ894" s="102">
        <v>15007878882770</v>
      </c>
      <c r="AR894" s="102">
        <v>80843416000</v>
      </c>
      <c r="AS894" s="102">
        <v>7895471000</v>
      </c>
      <c r="AT894" s="102">
        <v>86169976900</v>
      </c>
      <c r="AU894" s="55">
        <f t="shared" si="758"/>
        <v>36765759</v>
      </c>
      <c r="AV894" s="99">
        <f t="shared" si="759"/>
        <v>25051036765.595997</v>
      </c>
    </row>
    <row r="895" spans="1:48" ht="15">
      <c r="A895" s="28">
        <v>44986</v>
      </c>
      <c r="B895" s="56">
        <v>79219165000</v>
      </c>
      <c r="C895" s="56">
        <v>46533583100</v>
      </c>
      <c r="D895" s="56">
        <v>0</v>
      </c>
      <c r="E895" s="56">
        <v>12866900000</v>
      </c>
      <c r="F895" s="65">
        <v>138619648100</v>
      </c>
      <c r="G895" s="65">
        <v>37427305</v>
      </c>
      <c r="H895" s="58">
        <v>2922562000</v>
      </c>
      <c r="I895" s="58">
        <v>19939150000</v>
      </c>
      <c r="J895" s="58">
        <v>22861712000</v>
      </c>
      <c r="K895" s="58"/>
      <c r="L895" s="58">
        <v>17714601000</v>
      </c>
      <c r="M895" s="58">
        <v>4384500000</v>
      </c>
      <c r="N895" s="58">
        <v>22099101000</v>
      </c>
      <c r="O895" s="58">
        <v>1348173000</v>
      </c>
      <c r="P895" s="58">
        <v>0</v>
      </c>
      <c r="Q895" s="58">
        <v>1348173000</v>
      </c>
      <c r="R895" s="58">
        <v>674858000</v>
      </c>
      <c r="S895" s="58">
        <v>0</v>
      </c>
      <c r="T895" s="58">
        <v>674858000</v>
      </c>
      <c r="U895" s="58">
        <v>167895000</v>
      </c>
      <c r="V895" s="58">
        <v>0</v>
      </c>
      <c r="W895" s="58">
        <v>167895000</v>
      </c>
      <c r="X895" s="58">
        <v>341294000</v>
      </c>
      <c r="Y895" s="58">
        <v>0</v>
      </c>
      <c r="Z895" s="58">
        <v>341294000</v>
      </c>
      <c r="AA895" s="58">
        <v>25712000</v>
      </c>
      <c r="AB895" s="58">
        <v>0</v>
      </c>
      <c r="AC895" s="58">
        <v>25712000</v>
      </c>
      <c r="AD895" s="58">
        <v>471840000</v>
      </c>
      <c r="AE895" s="58">
        <v>0</v>
      </c>
      <c r="AF895" s="58">
        <v>471840000</v>
      </c>
      <c r="AG895" s="122"/>
      <c r="AH895" s="122"/>
      <c r="AI895" s="122"/>
      <c r="AJ895" s="121">
        <v>6934286</v>
      </c>
      <c r="AK895" s="66">
        <v>895050</v>
      </c>
      <c r="AL895" s="54">
        <v>44929</v>
      </c>
      <c r="AM895" s="116">
        <v>1551</v>
      </c>
      <c r="AN895" s="42">
        <v>13333950</v>
      </c>
      <c r="AO895" s="125">
        <v>4187700</v>
      </c>
      <c r="AP895" s="59"/>
      <c r="AQ895" s="102">
        <v>19081858699572</v>
      </c>
      <c r="AR895" s="102">
        <v>122209362000</v>
      </c>
      <c r="AS895" s="102">
        <v>73021853000</v>
      </c>
      <c r="AT895" s="102">
        <v>211641501100</v>
      </c>
      <c r="AU895" s="55">
        <f t="shared" si="758"/>
        <v>62778291</v>
      </c>
      <c r="AV895" s="99">
        <f t="shared" si="759"/>
        <v>25113815056.595997</v>
      </c>
    </row>
    <row r="896" spans="1:48" ht="15">
      <c r="A896" s="28">
        <v>44987</v>
      </c>
      <c r="B896" s="56">
        <v>72939730000</v>
      </c>
      <c r="C896" s="56">
        <v>0</v>
      </c>
      <c r="D896" s="56">
        <v>0</v>
      </c>
      <c r="E896" s="56">
        <v>0</v>
      </c>
      <c r="F896" s="65">
        <v>72939730000</v>
      </c>
      <c r="G896" s="65">
        <v>19693727</v>
      </c>
      <c r="H896" s="58">
        <v>7485366000</v>
      </c>
      <c r="I896" s="58">
        <v>58445600000</v>
      </c>
      <c r="J896" s="58">
        <v>65930966000</v>
      </c>
      <c r="K896" s="58"/>
      <c r="L896" s="58">
        <v>35424093000</v>
      </c>
      <c r="M896" s="58">
        <v>31161500000</v>
      </c>
      <c r="N896" s="58">
        <v>66585593000</v>
      </c>
      <c r="O896" s="58">
        <v>6049017000</v>
      </c>
      <c r="P896" s="58">
        <v>0</v>
      </c>
      <c r="Q896" s="58">
        <v>6049017000</v>
      </c>
      <c r="R896" s="58">
        <v>1015636000</v>
      </c>
      <c r="S896" s="58">
        <v>0</v>
      </c>
      <c r="T896" s="58">
        <v>1015636000</v>
      </c>
      <c r="U896" s="58">
        <v>48093000</v>
      </c>
      <c r="V896" s="58">
        <v>0</v>
      </c>
      <c r="W896" s="58">
        <v>48093000</v>
      </c>
      <c r="X896" s="58">
        <v>337018000</v>
      </c>
      <c r="Y896" s="58">
        <v>0</v>
      </c>
      <c r="Z896" s="58">
        <v>337018000</v>
      </c>
      <c r="AA896" s="58">
        <v>15103000</v>
      </c>
      <c r="AB896" s="58">
        <v>0</v>
      </c>
      <c r="AC896" s="58">
        <v>15103000</v>
      </c>
      <c r="AD896" s="58">
        <v>443732000</v>
      </c>
      <c r="AE896" s="58">
        <v>0</v>
      </c>
      <c r="AF896" s="58">
        <v>443732000</v>
      </c>
      <c r="AG896" s="122"/>
      <c r="AH896" s="122"/>
      <c r="AI896" s="122"/>
      <c r="AJ896" s="121">
        <v>21617628</v>
      </c>
      <c r="AK896" s="66">
        <v>1334340</v>
      </c>
      <c r="AL896" s="54">
        <v>44929</v>
      </c>
      <c r="AM896" s="116">
        <v>1679</v>
      </c>
      <c r="AN896" s="42">
        <v>9582900</v>
      </c>
      <c r="AO896" s="125">
        <v>4533300</v>
      </c>
      <c r="AP896" s="59"/>
      <c r="AQ896" s="102">
        <v>14367143340374</v>
      </c>
      <c r="AR896" s="102">
        <v>323938050000</v>
      </c>
      <c r="AS896" s="102">
        <v>155889654000</v>
      </c>
      <c r="AT896" s="102">
        <v>228829384000</v>
      </c>
      <c r="AU896" s="55">
        <f t="shared" si="758"/>
        <v>56761895</v>
      </c>
      <c r="AV896" s="99">
        <f t="shared" si="759"/>
        <v>25170576951.595997</v>
      </c>
    </row>
    <row r="897" spans="1:48" ht="15">
      <c r="A897" s="28">
        <v>44988</v>
      </c>
      <c r="B897" s="56">
        <v>95426935000</v>
      </c>
      <c r="C897" s="56">
        <v>14600747050</v>
      </c>
      <c r="D897" s="56">
        <v>7400547700</v>
      </c>
      <c r="E897" s="56">
        <v>0</v>
      </c>
      <c r="F897" s="65">
        <v>117428229750</v>
      </c>
      <c r="G897" s="65">
        <v>31705622</v>
      </c>
      <c r="H897" s="58">
        <v>351735000</v>
      </c>
      <c r="I897" s="58">
        <v>5230500000</v>
      </c>
      <c r="J897" s="58">
        <v>5582235000</v>
      </c>
      <c r="K897" s="58"/>
      <c r="L897" s="58">
        <v>11547540000</v>
      </c>
      <c r="M897" s="58">
        <v>2207000000</v>
      </c>
      <c r="N897" s="58">
        <v>13754540000</v>
      </c>
      <c r="O897" s="58">
        <v>60859000</v>
      </c>
      <c r="P897" s="58">
        <v>0</v>
      </c>
      <c r="Q897" s="58">
        <v>60859000</v>
      </c>
      <c r="R897" s="58">
        <v>1086097000</v>
      </c>
      <c r="S897" s="58">
        <v>0</v>
      </c>
      <c r="T897" s="58">
        <v>1086097000</v>
      </c>
      <c r="U897" s="58">
        <v>46458000</v>
      </c>
      <c r="V897" s="58">
        <v>0</v>
      </c>
      <c r="W897" s="58">
        <v>46458000</v>
      </c>
      <c r="X897" s="58">
        <v>333848000</v>
      </c>
      <c r="Y897" s="58">
        <v>0</v>
      </c>
      <c r="Z897" s="58">
        <v>333848000</v>
      </c>
      <c r="AA897" s="58">
        <v>33118000</v>
      </c>
      <c r="AB897" s="58">
        <v>0</v>
      </c>
      <c r="AC897" s="58">
        <v>33118000</v>
      </c>
      <c r="AD897" s="58">
        <v>436880000</v>
      </c>
      <c r="AE897" s="58">
        <v>0</v>
      </c>
      <c r="AF897" s="58">
        <v>436880000</v>
      </c>
      <c r="AG897" s="122"/>
      <c r="AH897" s="122"/>
      <c r="AI897" s="122"/>
      <c r="AJ897" s="121">
        <v>2839576</v>
      </c>
      <c r="AK897" s="66">
        <v>1186290</v>
      </c>
      <c r="AL897" s="54">
        <v>44929</v>
      </c>
      <c r="AM897" s="116">
        <v>1215</v>
      </c>
      <c r="AN897" s="42">
        <v>20173050</v>
      </c>
      <c r="AO897" s="125">
        <v>3280500</v>
      </c>
      <c r="AP897" s="59"/>
      <c r="AQ897" s="102">
        <v>17443678388976</v>
      </c>
      <c r="AR897" s="102">
        <v>79035834000</v>
      </c>
      <c r="AS897" s="102">
        <v>29922135000</v>
      </c>
      <c r="AT897" s="102">
        <v>147350364750</v>
      </c>
      <c r="AU897" s="55">
        <f t="shared" ref="AU897:AU917" si="760">G897+AJ897+AK897+AN897+AO897+AP897</f>
        <v>59185038</v>
      </c>
      <c r="AV897" s="99">
        <f t="shared" ref="AV897:AV917" si="761">AV896+AU897</f>
        <v>25229761989.595997</v>
      </c>
    </row>
    <row r="898" spans="1:48" ht="15">
      <c r="A898" s="28">
        <v>44991</v>
      </c>
      <c r="B898" s="56">
        <v>87263770000</v>
      </c>
      <c r="C898" s="56">
        <v>0</v>
      </c>
      <c r="D898" s="56">
        <v>0</v>
      </c>
      <c r="E898" s="56">
        <v>8667555000</v>
      </c>
      <c r="F898" s="65">
        <v>95931325000</v>
      </c>
      <c r="G898" s="65">
        <v>25901458</v>
      </c>
      <c r="H898" s="58">
        <v>1324142000</v>
      </c>
      <c r="I898" s="58">
        <v>35386000000</v>
      </c>
      <c r="J898" s="58">
        <v>36710142000</v>
      </c>
      <c r="K898" s="58"/>
      <c r="L898" s="58">
        <v>19543491000</v>
      </c>
      <c r="M898" s="58">
        <v>44190000000</v>
      </c>
      <c r="N898" s="58">
        <v>63733491000</v>
      </c>
      <c r="O898" s="58">
        <v>504521000</v>
      </c>
      <c r="P898" s="58">
        <v>0</v>
      </c>
      <c r="Q898" s="58">
        <v>504521000</v>
      </c>
      <c r="R898" s="58">
        <v>1104749000</v>
      </c>
      <c r="S898" s="58">
        <v>0</v>
      </c>
      <c r="T898" s="58">
        <v>1104749000</v>
      </c>
      <c r="U898" s="58">
        <v>210177000</v>
      </c>
      <c r="V898" s="58">
        <v>0</v>
      </c>
      <c r="W898" s="58">
        <v>210177000</v>
      </c>
      <c r="X898" s="58">
        <v>363582000</v>
      </c>
      <c r="Y898" s="58">
        <v>0</v>
      </c>
      <c r="Z898" s="58">
        <v>363582000</v>
      </c>
      <c r="AA898" s="58">
        <v>25449000</v>
      </c>
      <c r="AB898" s="58">
        <v>0</v>
      </c>
      <c r="AC898" s="58">
        <v>25449000</v>
      </c>
      <c r="AD898" s="58">
        <v>442764000</v>
      </c>
      <c r="AE898" s="58">
        <v>0</v>
      </c>
      <c r="AF898" s="58">
        <v>442764000</v>
      </c>
      <c r="AG898" s="122"/>
      <c r="AH898" s="122"/>
      <c r="AI898" s="122"/>
      <c r="AJ898" s="121">
        <v>16863719</v>
      </c>
      <c r="AK898" s="66">
        <v>987090</v>
      </c>
      <c r="AL898" s="54">
        <v>44929</v>
      </c>
      <c r="AM898" s="116">
        <v>1912</v>
      </c>
      <c r="AN898" s="42">
        <v>4368150</v>
      </c>
      <c r="AO898" s="125">
        <v>5162400</v>
      </c>
      <c r="AP898" s="59"/>
      <c r="AQ898" s="102">
        <v>15714956129982</v>
      </c>
      <c r="AR898" s="102">
        <v>216034788000</v>
      </c>
      <c r="AS898" s="102">
        <v>99863798000</v>
      </c>
      <c r="AT898" s="102">
        <v>195795123000</v>
      </c>
      <c r="AU898" s="55">
        <f t="shared" si="760"/>
        <v>53282817</v>
      </c>
      <c r="AV898" s="99">
        <f t="shared" si="761"/>
        <v>25283044806.595997</v>
      </c>
    </row>
    <row r="899" spans="1:48" ht="15">
      <c r="A899" s="28">
        <v>44992</v>
      </c>
      <c r="B899" s="56">
        <v>69972189000</v>
      </c>
      <c r="C899" s="56">
        <v>15100770000</v>
      </c>
      <c r="D899" s="56">
        <v>0</v>
      </c>
      <c r="E899" s="56">
        <v>0</v>
      </c>
      <c r="F899" s="65">
        <v>85072959000</v>
      </c>
      <c r="G899" s="65">
        <v>22969699</v>
      </c>
      <c r="H899" s="58">
        <v>2306724000</v>
      </c>
      <c r="I899" s="58">
        <v>12302500000</v>
      </c>
      <c r="J899" s="58">
        <v>14609224000</v>
      </c>
      <c r="K899" s="58"/>
      <c r="L899" s="58">
        <v>12027320000</v>
      </c>
      <c r="M899" s="58">
        <v>0</v>
      </c>
      <c r="N899" s="58">
        <v>12027320000</v>
      </c>
      <c r="O899" s="58">
        <v>9648550000</v>
      </c>
      <c r="P899" s="58">
        <v>0</v>
      </c>
      <c r="Q899" s="58">
        <v>9648550000</v>
      </c>
      <c r="R899" s="58">
        <v>597299000</v>
      </c>
      <c r="S899" s="58">
        <v>0</v>
      </c>
      <c r="T899" s="58">
        <v>597299000</v>
      </c>
      <c r="U899" s="58">
        <v>11441000</v>
      </c>
      <c r="V899" s="58">
        <v>0</v>
      </c>
      <c r="W899" s="58">
        <v>11441000</v>
      </c>
      <c r="X899" s="58">
        <v>369789000</v>
      </c>
      <c r="Y899" s="58">
        <v>0</v>
      </c>
      <c r="Z899" s="58">
        <v>369789000</v>
      </c>
      <c r="AA899" s="58">
        <v>32852000</v>
      </c>
      <c r="AB899" s="58">
        <v>0</v>
      </c>
      <c r="AC899" s="58">
        <v>32852000</v>
      </c>
      <c r="AD899" s="58">
        <v>463403000</v>
      </c>
      <c r="AE899" s="58">
        <v>0</v>
      </c>
      <c r="AF899" s="58">
        <v>463403000</v>
      </c>
      <c r="AG899" s="122"/>
      <c r="AH899" s="122"/>
      <c r="AI899" s="122"/>
      <c r="AJ899" s="121">
        <v>4963847</v>
      </c>
      <c r="AK899" s="66">
        <v>417660</v>
      </c>
      <c r="AL899" s="54">
        <v>44929</v>
      </c>
      <c r="AM899" s="116">
        <v>1169</v>
      </c>
      <c r="AN899" s="42">
        <v>5033700</v>
      </c>
      <c r="AO899" s="125">
        <v>3156300</v>
      </c>
      <c r="AP899" s="59"/>
      <c r="AQ899" s="102">
        <v>18337016162984</v>
      </c>
      <c r="AR899" s="102">
        <v>125193448000</v>
      </c>
      <c r="AS899" s="102">
        <v>51225378000</v>
      </c>
      <c r="AT899" s="102">
        <v>136298337000</v>
      </c>
      <c r="AU899" s="55">
        <f t="shared" si="760"/>
        <v>36541206</v>
      </c>
      <c r="AV899" s="99">
        <f t="shared" si="761"/>
        <v>25319586012.595997</v>
      </c>
    </row>
    <row r="900" spans="1:48" ht="15">
      <c r="A900" s="28">
        <v>44993</v>
      </c>
      <c r="B900" s="56">
        <v>50824174000</v>
      </c>
      <c r="C900" s="56">
        <v>0</v>
      </c>
      <c r="D900" s="56">
        <v>0</v>
      </c>
      <c r="E900" s="56">
        <v>0</v>
      </c>
      <c r="F900" s="65">
        <v>50824174000</v>
      </c>
      <c r="G900" s="65">
        <v>13722527</v>
      </c>
      <c r="H900" s="58">
        <v>20348686000</v>
      </c>
      <c r="I900" s="58">
        <v>52217700000</v>
      </c>
      <c r="J900" s="58">
        <v>72566386000</v>
      </c>
      <c r="K900" s="58"/>
      <c r="L900" s="58">
        <v>8192725000</v>
      </c>
      <c r="M900" s="58">
        <v>6571500000</v>
      </c>
      <c r="N900" s="58">
        <v>14764225000</v>
      </c>
      <c r="O900" s="58">
        <v>337584000</v>
      </c>
      <c r="P900" s="58">
        <v>0</v>
      </c>
      <c r="Q900" s="58">
        <v>337584000</v>
      </c>
      <c r="R900" s="58">
        <v>949935000</v>
      </c>
      <c r="S900" s="58">
        <v>0</v>
      </c>
      <c r="T900" s="58">
        <v>949935000</v>
      </c>
      <c r="U900" s="58">
        <v>60495000</v>
      </c>
      <c r="V900" s="58">
        <v>0</v>
      </c>
      <c r="W900" s="58">
        <v>60495000</v>
      </c>
      <c r="X900" s="58">
        <v>319200000</v>
      </c>
      <c r="Y900" s="58">
        <v>0</v>
      </c>
      <c r="Z900" s="58">
        <v>319200000</v>
      </c>
      <c r="AA900" s="58">
        <v>86440000</v>
      </c>
      <c r="AB900" s="58">
        <v>0</v>
      </c>
      <c r="AC900" s="58">
        <v>86440000</v>
      </c>
      <c r="AD900" s="58">
        <v>451560000</v>
      </c>
      <c r="AE900" s="58">
        <v>0</v>
      </c>
      <c r="AF900" s="58">
        <v>451560000</v>
      </c>
      <c r="AG900" s="122"/>
      <c r="AH900" s="122"/>
      <c r="AI900" s="122"/>
      <c r="AJ900" s="121">
        <v>13902692</v>
      </c>
      <c r="AK900" s="66">
        <v>754320</v>
      </c>
      <c r="AL900" s="54">
        <v>44929</v>
      </c>
      <c r="AM900" s="116">
        <v>656</v>
      </c>
      <c r="AN900" s="42">
        <v>5069400</v>
      </c>
      <c r="AO900" s="125">
        <v>1771200</v>
      </c>
      <c r="AP900" s="59"/>
      <c r="AQ900" s="102">
        <v>20460588027986</v>
      </c>
      <c r="AR900" s="102">
        <v>236825032000</v>
      </c>
      <c r="AS900" s="102">
        <v>149480725000</v>
      </c>
      <c r="AT900" s="102">
        <v>200304899000</v>
      </c>
      <c r="AU900" s="55">
        <f t="shared" si="760"/>
        <v>35220139</v>
      </c>
      <c r="AV900" s="99">
        <f t="shared" si="761"/>
        <v>25354806151.595997</v>
      </c>
    </row>
    <row r="901" spans="1:48" ht="15">
      <c r="A901" s="28">
        <v>44994</v>
      </c>
      <c r="B901" s="56">
        <v>63069045000</v>
      </c>
      <c r="C901" s="56">
        <v>0</v>
      </c>
      <c r="D901" s="56">
        <v>0</v>
      </c>
      <c r="E901" s="56">
        <v>0</v>
      </c>
      <c r="F901" s="65">
        <v>63069045000</v>
      </c>
      <c r="G901" s="65">
        <v>17028642</v>
      </c>
      <c r="H901" s="58">
        <v>20424027000</v>
      </c>
      <c r="I901" s="58">
        <v>33843000000</v>
      </c>
      <c r="J901" s="58">
        <v>54267027000</v>
      </c>
      <c r="K901" s="58"/>
      <c r="L901" s="58">
        <v>10546849000</v>
      </c>
      <c r="M901" s="58">
        <v>13387000000</v>
      </c>
      <c r="N901" s="58">
        <v>23933849000</v>
      </c>
      <c r="O901" s="58">
        <v>1851379000</v>
      </c>
      <c r="P901" s="58">
        <v>0</v>
      </c>
      <c r="Q901" s="58">
        <v>1851379000</v>
      </c>
      <c r="R901" s="58">
        <v>645870000</v>
      </c>
      <c r="S901" s="58">
        <v>0</v>
      </c>
      <c r="T901" s="58">
        <v>645870000</v>
      </c>
      <c r="U901" s="58">
        <v>130234000</v>
      </c>
      <c r="V901" s="58">
        <v>0</v>
      </c>
      <c r="W901" s="58">
        <v>130234000</v>
      </c>
      <c r="X901" s="58">
        <v>339668000</v>
      </c>
      <c r="Y901" s="58">
        <v>0</v>
      </c>
      <c r="Z901" s="58">
        <v>339668000</v>
      </c>
      <c r="AA901" s="58">
        <v>43038000</v>
      </c>
      <c r="AB901" s="58">
        <v>0</v>
      </c>
      <c r="AC901" s="58">
        <v>43038000</v>
      </c>
      <c r="AD901" s="58">
        <v>460455000</v>
      </c>
      <c r="AE901" s="58">
        <v>0</v>
      </c>
      <c r="AF901" s="58">
        <v>460455000</v>
      </c>
      <c r="AG901" s="122"/>
      <c r="AH901" s="122"/>
      <c r="AI901" s="122"/>
      <c r="AJ901" s="121">
        <v>12221084</v>
      </c>
      <c r="AK901" s="66">
        <v>748290</v>
      </c>
      <c r="AL901" s="54">
        <v>44929</v>
      </c>
      <c r="AM901" s="116">
        <v>1030</v>
      </c>
      <c r="AN901" s="42">
        <v>5166300</v>
      </c>
      <c r="AO901" s="125">
        <v>2781000</v>
      </c>
      <c r="AP901" s="59"/>
      <c r="AQ901" s="102">
        <v>23924944396988</v>
      </c>
      <c r="AR901" s="102">
        <v>263946552000</v>
      </c>
      <c r="AS901" s="102">
        <v>131542441000</v>
      </c>
      <c r="AT901" s="102">
        <v>194611486000</v>
      </c>
      <c r="AU901" s="55">
        <f t="shared" si="760"/>
        <v>37945316</v>
      </c>
      <c r="AV901" s="99">
        <f t="shared" si="761"/>
        <v>25392751467.595997</v>
      </c>
    </row>
    <row r="902" spans="1:48" ht="15">
      <c r="A902" s="28">
        <v>44995</v>
      </c>
      <c r="B902" s="56">
        <v>52669090000</v>
      </c>
      <c r="C902" s="56">
        <v>0</v>
      </c>
      <c r="D902" s="56">
        <v>0</v>
      </c>
      <c r="E902" s="56">
        <v>0</v>
      </c>
      <c r="F902" s="65">
        <v>52669090000</v>
      </c>
      <c r="G902" s="65">
        <v>14220654</v>
      </c>
      <c r="H902" s="58">
        <v>27847474000</v>
      </c>
      <c r="I902" s="58">
        <v>48037900000</v>
      </c>
      <c r="J902" s="58">
        <v>75885374000</v>
      </c>
      <c r="K902" s="58"/>
      <c r="L902" s="58">
        <v>9123999000</v>
      </c>
      <c r="M902" s="58">
        <v>8873000000</v>
      </c>
      <c r="N902" s="58">
        <v>17996999000</v>
      </c>
      <c r="O902" s="58">
        <v>1014932000</v>
      </c>
      <c r="P902" s="58">
        <v>0</v>
      </c>
      <c r="Q902" s="58">
        <v>1014932000</v>
      </c>
      <c r="R902" s="58">
        <v>742895000</v>
      </c>
      <c r="S902" s="58">
        <v>0</v>
      </c>
      <c r="T902" s="58">
        <v>742895000</v>
      </c>
      <c r="U902" s="58">
        <v>114332000</v>
      </c>
      <c r="V902" s="58">
        <v>0</v>
      </c>
      <c r="W902" s="58">
        <v>114332000</v>
      </c>
      <c r="X902" s="58">
        <v>350362000</v>
      </c>
      <c r="Y902" s="58">
        <v>0</v>
      </c>
      <c r="Z902" s="58">
        <v>350362000</v>
      </c>
      <c r="AA902" s="58">
        <v>8903000</v>
      </c>
      <c r="AB902" s="58">
        <v>0</v>
      </c>
      <c r="AC902" s="58">
        <v>8903000</v>
      </c>
      <c r="AD902" s="58">
        <v>476222000</v>
      </c>
      <c r="AE902" s="58">
        <v>0</v>
      </c>
      <c r="AF902" s="58">
        <v>476222000</v>
      </c>
      <c r="AG902" s="122"/>
      <c r="AH902" s="122"/>
      <c r="AI902" s="122"/>
      <c r="AJ902" s="121">
        <v>14529307</v>
      </c>
      <c r="AK902" s="66">
        <v>841530</v>
      </c>
      <c r="AL902" s="54">
        <v>44929</v>
      </c>
      <c r="AM902" s="116">
        <v>872</v>
      </c>
      <c r="AN902" s="42">
        <v>10878300</v>
      </c>
      <c r="AO902" s="125">
        <v>2354400</v>
      </c>
      <c r="AP902" s="59"/>
      <c r="AQ902" s="102">
        <v>20579055585390</v>
      </c>
      <c r="AR902" s="102">
        <v>277331676000</v>
      </c>
      <c r="AS902" s="102">
        <v>154697407000</v>
      </c>
      <c r="AT902" s="102">
        <v>207366497000</v>
      </c>
      <c r="AU902" s="55">
        <f t="shared" si="760"/>
        <v>42824191</v>
      </c>
      <c r="AV902" s="99">
        <f t="shared" si="761"/>
        <v>25435575658.595997</v>
      </c>
    </row>
    <row r="903" spans="1:48" ht="15">
      <c r="A903" s="28">
        <v>44998</v>
      </c>
      <c r="B903" s="56">
        <v>51658320000</v>
      </c>
      <c r="C903" s="56">
        <v>0</v>
      </c>
      <c r="D903" s="56">
        <v>0</v>
      </c>
      <c r="E903" s="56">
        <v>0</v>
      </c>
      <c r="F903" s="65">
        <v>51658320000</v>
      </c>
      <c r="G903" s="65">
        <v>13947746</v>
      </c>
      <c r="H903" s="58">
        <v>7835269000</v>
      </c>
      <c r="I903" s="58">
        <v>21429100000</v>
      </c>
      <c r="J903" s="58">
        <v>29264369000</v>
      </c>
      <c r="K903" s="58"/>
      <c r="L903" s="58">
        <v>16955208000</v>
      </c>
      <c r="M903" s="58">
        <v>8861000000</v>
      </c>
      <c r="N903" s="58">
        <v>25816208000</v>
      </c>
      <c r="O903" s="58">
        <v>1079051000</v>
      </c>
      <c r="P903" s="58">
        <v>0</v>
      </c>
      <c r="Q903" s="58">
        <v>1079051000</v>
      </c>
      <c r="R903" s="58">
        <v>615994000</v>
      </c>
      <c r="S903" s="58">
        <v>0</v>
      </c>
      <c r="T903" s="58">
        <v>615994000</v>
      </c>
      <c r="U903" s="58">
        <v>222064000</v>
      </c>
      <c r="V903" s="58">
        <v>0</v>
      </c>
      <c r="W903" s="58">
        <v>222064000</v>
      </c>
      <c r="X903" s="58">
        <v>350672000</v>
      </c>
      <c r="Y903" s="58">
        <v>0</v>
      </c>
      <c r="Z903" s="58">
        <v>350672000</v>
      </c>
      <c r="AA903" s="58">
        <v>174274000</v>
      </c>
      <c r="AB903" s="58">
        <v>0</v>
      </c>
      <c r="AC903" s="58">
        <v>174274000</v>
      </c>
      <c r="AD903" s="58">
        <v>489814000</v>
      </c>
      <c r="AE903" s="58">
        <v>0</v>
      </c>
      <c r="AF903" s="58">
        <v>489814000</v>
      </c>
      <c r="AG903" s="122"/>
      <c r="AH903" s="122"/>
      <c r="AI903" s="122"/>
      <c r="AJ903" s="121">
        <v>8446231</v>
      </c>
      <c r="AK903" s="66">
        <v>341520</v>
      </c>
      <c r="AL903" s="54">
        <v>44929</v>
      </c>
      <c r="AM903" s="116">
        <v>1016</v>
      </c>
      <c r="AN903" s="42">
        <v>5028600</v>
      </c>
      <c r="AO903" s="125">
        <v>2743200</v>
      </c>
      <c r="AP903" s="59"/>
      <c r="AQ903" s="102">
        <v>24672604636596</v>
      </c>
      <c r="AR903" s="102">
        <v>223086516000</v>
      </c>
      <c r="AS903" s="102">
        <v>89550706000</v>
      </c>
      <c r="AT903" s="102">
        <v>141209026000</v>
      </c>
      <c r="AU903" s="55">
        <f t="shared" si="760"/>
        <v>30507297</v>
      </c>
      <c r="AV903" s="99">
        <f t="shared" si="761"/>
        <v>25466082955.595997</v>
      </c>
    </row>
    <row r="904" spans="1:48" ht="15">
      <c r="A904" s="28">
        <v>44999</v>
      </c>
      <c r="B904" s="56">
        <v>131840832000</v>
      </c>
      <c r="C904" s="56">
        <v>0</v>
      </c>
      <c r="D904" s="56">
        <v>0</v>
      </c>
      <c r="E904" s="56">
        <v>0</v>
      </c>
      <c r="F904" s="65">
        <v>131840832000</v>
      </c>
      <c r="G904" s="65">
        <v>35597025</v>
      </c>
      <c r="H904" s="58">
        <v>3299483000</v>
      </c>
      <c r="I904" s="58">
        <v>12346600000</v>
      </c>
      <c r="J904" s="58">
        <v>15646083000</v>
      </c>
      <c r="K904" s="58"/>
      <c r="L904" s="58">
        <v>15769243000</v>
      </c>
      <c r="M904" s="58">
        <v>8803000000</v>
      </c>
      <c r="N904" s="58">
        <v>24572243000</v>
      </c>
      <c r="O904" s="58">
        <v>170475000</v>
      </c>
      <c r="P904" s="58">
        <v>0</v>
      </c>
      <c r="Q904" s="58">
        <v>170475000</v>
      </c>
      <c r="R904" s="58">
        <v>890211000</v>
      </c>
      <c r="S904" s="58">
        <v>0</v>
      </c>
      <c r="T904" s="58">
        <v>890211000</v>
      </c>
      <c r="U904" s="58">
        <v>17898000</v>
      </c>
      <c r="V904" s="58">
        <v>0</v>
      </c>
      <c r="W904" s="58">
        <v>17898000</v>
      </c>
      <c r="X904" s="58">
        <v>341870000</v>
      </c>
      <c r="Y904" s="58">
        <v>0</v>
      </c>
      <c r="Z904" s="58">
        <v>341870000</v>
      </c>
      <c r="AA904" s="58">
        <v>262046000</v>
      </c>
      <c r="AB904" s="58">
        <v>0</v>
      </c>
      <c r="AC904" s="58">
        <v>262046000</v>
      </c>
      <c r="AD904" s="58">
        <v>446500000</v>
      </c>
      <c r="AE904" s="58">
        <v>0</v>
      </c>
      <c r="AF904" s="58">
        <v>446500000</v>
      </c>
      <c r="AG904" s="122"/>
      <c r="AH904" s="122"/>
      <c r="AI904" s="122"/>
      <c r="AJ904" s="121">
        <v>6096282</v>
      </c>
      <c r="AK904" s="66">
        <v>1048680</v>
      </c>
      <c r="AL904" s="54">
        <v>44929</v>
      </c>
      <c r="AM904" s="116">
        <v>1538</v>
      </c>
      <c r="AN904" s="42">
        <v>7323600</v>
      </c>
      <c r="AO904" s="125">
        <v>4152600</v>
      </c>
      <c r="AP904" s="59"/>
      <c r="AQ904" s="102">
        <v>24070540537998</v>
      </c>
      <c r="AR904" s="102">
        <v>150726800000</v>
      </c>
      <c r="AS904" s="102">
        <v>64677326000</v>
      </c>
      <c r="AT904" s="102">
        <v>196518158000</v>
      </c>
      <c r="AU904" s="55">
        <f t="shared" si="760"/>
        <v>54218187</v>
      </c>
      <c r="AV904" s="99">
        <f t="shared" si="761"/>
        <v>25520301142.595997</v>
      </c>
    </row>
    <row r="905" spans="1:48" ht="15">
      <c r="A905" s="28">
        <v>45000</v>
      </c>
      <c r="B905" s="56">
        <v>115675530000</v>
      </c>
      <c r="C905" s="56">
        <v>0</v>
      </c>
      <c r="D905" s="56">
        <v>0</v>
      </c>
      <c r="E905" s="56">
        <v>0</v>
      </c>
      <c r="F905" s="65">
        <v>115675530000</v>
      </c>
      <c r="G905" s="65">
        <v>31232393</v>
      </c>
      <c r="H905" s="58">
        <v>11786667000</v>
      </c>
      <c r="I905" s="58">
        <v>100882900000</v>
      </c>
      <c r="J905" s="58">
        <v>112669567000</v>
      </c>
      <c r="K905" s="58"/>
      <c r="L905" s="58">
        <v>4075928000</v>
      </c>
      <c r="M905" s="58">
        <v>15582000000</v>
      </c>
      <c r="N905" s="58">
        <v>19657928000</v>
      </c>
      <c r="O905" s="58">
        <v>1387739000</v>
      </c>
      <c r="P905" s="58">
        <v>0</v>
      </c>
      <c r="Q905" s="58">
        <v>1387739000</v>
      </c>
      <c r="R905" s="58">
        <v>660517000</v>
      </c>
      <c r="S905" s="58">
        <v>0</v>
      </c>
      <c r="T905" s="58">
        <v>660517000</v>
      </c>
      <c r="U905" s="58">
        <v>129364000</v>
      </c>
      <c r="V905" s="58">
        <v>0</v>
      </c>
      <c r="W905" s="58">
        <v>129364000</v>
      </c>
      <c r="X905" s="58">
        <v>391638000</v>
      </c>
      <c r="Y905" s="58">
        <v>0</v>
      </c>
      <c r="Z905" s="58">
        <v>391638000</v>
      </c>
      <c r="AA905" s="58">
        <v>38889000</v>
      </c>
      <c r="AB905" s="58">
        <v>0</v>
      </c>
      <c r="AC905" s="58">
        <v>38889000</v>
      </c>
      <c r="AD905" s="58">
        <v>456000000</v>
      </c>
      <c r="AE905" s="58">
        <v>0</v>
      </c>
      <c r="AF905" s="58">
        <v>456000000</v>
      </c>
      <c r="AG905" s="122"/>
      <c r="AH905" s="122"/>
      <c r="AI905" s="122"/>
      <c r="AJ905" s="121">
        <v>23007770</v>
      </c>
      <c r="AK905" s="66">
        <v>357810</v>
      </c>
      <c r="AL905" s="54">
        <v>44929</v>
      </c>
      <c r="AM905" s="116">
        <v>1725</v>
      </c>
      <c r="AN905" s="42">
        <v>11656050</v>
      </c>
      <c r="AO905" s="125">
        <v>4657500</v>
      </c>
      <c r="AP905" s="59"/>
      <c r="AQ905" s="102">
        <v>24466141362000</v>
      </c>
      <c r="AR905" s="102">
        <v>301525614000</v>
      </c>
      <c r="AS905" s="102">
        <v>234989970000</v>
      </c>
      <c r="AT905" s="102">
        <v>350665500000</v>
      </c>
      <c r="AU905" s="55">
        <f t="shared" si="760"/>
        <v>70911523</v>
      </c>
      <c r="AV905" s="99">
        <f t="shared" si="761"/>
        <v>25591212665.595997</v>
      </c>
    </row>
    <row r="906" spans="1:48" ht="15">
      <c r="A906" s="28">
        <v>45001</v>
      </c>
      <c r="B906" s="56">
        <v>178644320000</v>
      </c>
      <c r="C906" s="56">
        <v>6470315000</v>
      </c>
      <c r="D906" s="56">
        <v>0</v>
      </c>
      <c r="E906" s="56">
        <v>5522290000</v>
      </c>
      <c r="F906" s="65">
        <v>190636925000</v>
      </c>
      <c r="G906" s="65">
        <v>51471970</v>
      </c>
      <c r="H906" s="58">
        <v>6144566000</v>
      </c>
      <c r="I906" s="58">
        <v>41059300000</v>
      </c>
      <c r="J906" s="58">
        <v>47203866000</v>
      </c>
      <c r="K906" s="58"/>
      <c r="L906" s="58">
        <v>19003221000</v>
      </c>
      <c r="M906" s="58">
        <v>6643000000</v>
      </c>
      <c r="N906" s="58">
        <v>25646221000</v>
      </c>
      <c r="O906" s="58">
        <v>716156000</v>
      </c>
      <c r="P906" s="58">
        <v>0</v>
      </c>
      <c r="Q906" s="58">
        <v>716156000</v>
      </c>
      <c r="R906" s="58">
        <v>1414782000</v>
      </c>
      <c r="S906" s="58">
        <v>0</v>
      </c>
      <c r="T906" s="58">
        <v>1414782000</v>
      </c>
      <c r="U906" s="58">
        <v>84124000</v>
      </c>
      <c r="V906" s="58">
        <v>0</v>
      </c>
      <c r="W906" s="58">
        <v>84124000</v>
      </c>
      <c r="X906" s="58">
        <v>347080000</v>
      </c>
      <c r="Y906" s="58">
        <v>0</v>
      </c>
      <c r="Z906" s="58">
        <v>347080000</v>
      </c>
      <c r="AA906" s="58">
        <v>40809000</v>
      </c>
      <c r="AB906" s="58">
        <v>0</v>
      </c>
      <c r="AC906" s="58">
        <v>40809000</v>
      </c>
      <c r="AD906" s="58">
        <v>453000000</v>
      </c>
      <c r="AE906" s="58">
        <v>0</v>
      </c>
      <c r="AF906" s="58">
        <v>453000000</v>
      </c>
      <c r="AG906" s="122"/>
      <c r="AH906" s="122"/>
      <c r="AI906" s="122"/>
      <c r="AJ906" s="121">
        <v>11632418</v>
      </c>
      <c r="AK906" s="66">
        <v>1150500</v>
      </c>
      <c r="AL906" s="54">
        <v>44929</v>
      </c>
      <c r="AM906" s="116">
        <v>3716</v>
      </c>
      <c r="AN906" s="42">
        <v>10702350</v>
      </c>
      <c r="AO906" s="125">
        <v>10033200</v>
      </c>
      <c r="AP906" s="59"/>
      <c r="AQ906" s="102">
        <v>21101357858802</v>
      </c>
      <c r="AR906" s="102">
        <v>415242244000</v>
      </c>
      <c r="AS906" s="102">
        <v>124800638000</v>
      </c>
      <c r="AT906" s="102">
        <v>315437563000</v>
      </c>
      <c r="AU906" s="55">
        <f t="shared" si="760"/>
        <v>84990438</v>
      </c>
      <c r="AV906" s="99">
        <f t="shared" si="761"/>
        <v>25676203103.595997</v>
      </c>
    </row>
    <row r="907" spans="1:48" ht="15">
      <c r="A907" s="28">
        <v>45002</v>
      </c>
      <c r="B907" s="56">
        <v>79686645000</v>
      </c>
      <c r="C907" s="56">
        <v>0</v>
      </c>
      <c r="D907" s="56">
        <v>0</v>
      </c>
      <c r="E907" s="56">
        <v>0</v>
      </c>
      <c r="F907" s="65">
        <v>79686645000</v>
      </c>
      <c r="G907" s="65">
        <v>21515394</v>
      </c>
      <c r="H907" s="58">
        <v>2433411000</v>
      </c>
      <c r="I907" s="58">
        <v>0</v>
      </c>
      <c r="J907" s="58">
        <v>2433411000</v>
      </c>
      <c r="K907" s="58"/>
      <c r="L907" s="58">
        <v>457574000</v>
      </c>
      <c r="M907" s="58">
        <v>0</v>
      </c>
      <c r="N907" s="58">
        <v>457574000</v>
      </c>
      <c r="O907" s="58">
        <v>267400000</v>
      </c>
      <c r="P907" s="58">
        <v>0</v>
      </c>
      <c r="Q907" s="58">
        <v>267400000</v>
      </c>
      <c r="R907" s="58">
        <v>596090000</v>
      </c>
      <c r="S907" s="58">
        <v>0</v>
      </c>
      <c r="T907" s="58">
        <v>596090000</v>
      </c>
      <c r="U907" s="58">
        <v>146536000</v>
      </c>
      <c r="V907" s="58">
        <v>0</v>
      </c>
      <c r="W907" s="58">
        <v>146536000</v>
      </c>
      <c r="X907" s="58">
        <v>365696000</v>
      </c>
      <c r="Y907" s="58">
        <v>0</v>
      </c>
      <c r="Z907" s="58">
        <v>365696000</v>
      </c>
      <c r="AA907" s="58">
        <v>7974000</v>
      </c>
      <c r="AB907" s="58">
        <v>0</v>
      </c>
      <c r="AC907" s="58">
        <v>7974000</v>
      </c>
      <c r="AD907" s="58">
        <v>450500000</v>
      </c>
      <c r="AE907" s="58">
        <v>0</v>
      </c>
      <c r="AF907" s="58">
        <v>450500000</v>
      </c>
      <c r="AG907" s="122"/>
      <c r="AH907" s="122"/>
      <c r="AI907" s="122"/>
      <c r="AJ907" s="121">
        <v>510320</v>
      </c>
      <c r="AK907" s="66">
        <v>1159200</v>
      </c>
      <c r="AL907" s="54">
        <v>44929</v>
      </c>
      <c r="AM907" s="116">
        <v>1380</v>
      </c>
      <c r="AN907" s="42">
        <v>24610050</v>
      </c>
      <c r="AO907" s="125">
        <v>3726000</v>
      </c>
      <c r="AP907" s="59"/>
      <c r="AQ907" s="102">
        <v>22676625256004</v>
      </c>
      <c r="AR907" s="102">
        <v>45877962000</v>
      </c>
      <c r="AS907" s="102">
        <v>5912781000</v>
      </c>
      <c r="AT907" s="102">
        <v>85599426000</v>
      </c>
      <c r="AU907" s="55">
        <f t="shared" si="760"/>
        <v>51520964</v>
      </c>
      <c r="AV907" s="99">
        <f t="shared" si="761"/>
        <v>25727724067.595997</v>
      </c>
    </row>
    <row r="908" spans="1:48" ht="15">
      <c r="A908" s="28">
        <v>45005</v>
      </c>
      <c r="B908" s="56">
        <v>35223970000</v>
      </c>
      <c r="C908" s="56">
        <v>0</v>
      </c>
      <c r="D908" s="56">
        <v>0</v>
      </c>
      <c r="E908" s="56">
        <v>0</v>
      </c>
      <c r="F908" s="65">
        <v>35223970000</v>
      </c>
      <c r="G908" s="65">
        <v>9510472</v>
      </c>
      <c r="H908" s="58">
        <v>18172994000</v>
      </c>
      <c r="I908" s="58">
        <v>3486000000</v>
      </c>
      <c r="J908" s="58">
        <v>21658994000</v>
      </c>
      <c r="K908" s="58"/>
      <c r="L908" s="58">
        <v>27172375000</v>
      </c>
      <c r="M908" s="58">
        <v>10919000000</v>
      </c>
      <c r="N908" s="58">
        <v>38091375000</v>
      </c>
      <c r="O908" s="58">
        <v>149436000</v>
      </c>
      <c r="P908" s="58">
        <v>0</v>
      </c>
      <c r="Q908" s="58">
        <v>149436000</v>
      </c>
      <c r="R908" s="58">
        <v>1382236000</v>
      </c>
      <c r="S908" s="58">
        <v>0</v>
      </c>
      <c r="T908" s="58">
        <v>1382236000</v>
      </c>
      <c r="U908" s="58">
        <v>642190000</v>
      </c>
      <c r="V908" s="58">
        <v>0</v>
      </c>
      <c r="W908" s="58">
        <v>642190000</v>
      </c>
      <c r="X908" s="58">
        <v>328968000</v>
      </c>
      <c r="Y908" s="58">
        <v>0</v>
      </c>
      <c r="Z908" s="58">
        <v>328968000</v>
      </c>
      <c r="AA908" s="58">
        <v>39491000</v>
      </c>
      <c r="AB908" s="58">
        <v>0</v>
      </c>
      <c r="AC908" s="58">
        <v>39491000</v>
      </c>
      <c r="AD908" s="58">
        <v>450415000</v>
      </c>
      <c r="AE908" s="58">
        <v>0</v>
      </c>
      <c r="AF908" s="58">
        <v>450415000</v>
      </c>
      <c r="AG908" s="122"/>
      <c r="AH908" s="122"/>
      <c r="AI908" s="122"/>
      <c r="AJ908" s="121">
        <v>7813415</v>
      </c>
      <c r="AK908" s="66">
        <v>962580</v>
      </c>
      <c r="AL908" s="54">
        <v>44929</v>
      </c>
      <c r="AM908" s="116">
        <v>922</v>
      </c>
      <c r="AN908" s="42">
        <v>6229650</v>
      </c>
      <c r="AO908" s="125">
        <v>2489400</v>
      </c>
      <c r="AP908" s="59"/>
      <c r="AQ908" s="102">
        <v>21988938653210</v>
      </c>
      <c r="AR908" s="102">
        <v>159528364000</v>
      </c>
      <c r="AS908" s="102">
        <v>77923105000</v>
      </c>
      <c r="AT908" s="102">
        <v>113147075000</v>
      </c>
      <c r="AU908" s="55">
        <f t="shared" si="760"/>
        <v>27005517</v>
      </c>
      <c r="AV908" s="99">
        <f t="shared" si="761"/>
        <v>25754729584.595997</v>
      </c>
    </row>
    <row r="909" spans="1:48" ht="15">
      <c r="A909" s="28">
        <v>45006</v>
      </c>
      <c r="B909" s="56">
        <v>113820848000</v>
      </c>
      <c r="C909" s="56">
        <v>0</v>
      </c>
      <c r="D909" s="56">
        <v>0</v>
      </c>
      <c r="E909" s="56">
        <v>0</v>
      </c>
      <c r="F909" s="65">
        <v>113820848000</v>
      </c>
      <c r="G909" s="65">
        <v>30731629</v>
      </c>
      <c r="H909" s="58">
        <v>4417138000</v>
      </c>
      <c r="I909" s="58">
        <v>0</v>
      </c>
      <c r="J909" s="58">
        <v>4417138000</v>
      </c>
      <c r="K909" s="58"/>
      <c r="L909" s="58">
        <v>8644829000</v>
      </c>
      <c r="M909" s="58">
        <v>0</v>
      </c>
      <c r="N909" s="58">
        <v>8644829000</v>
      </c>
      <c r="O909" s="58">
        <v>386587000</v>
      </c>
      <c r="P909" s="58">
        <v>0</v>
      </c>
      <c r="Q909" s="58">
        <v>386587000</v>
      </c>
      <c r="R909" s="58">
        <v>319987000</v>
      </c>
      <c r="S909" s="58">
        <v>0</v>
      </c>
      <c r="T909" s="58">
        <v>319987000</v>
      </c>
      <c r="U909" s="58">
        <v>69290000</v>
      </c>
      <c r="V909" s="58">
        <v>0</v>
      </c>
      <c r="W909" s="58">
        <v>69290000</v>
      </c>
      <c r="X909" s="58">
        <v>342498000</v>
      </c>
      <c r="Y909" s="58">
        <v>0</v>
      </c>
      <c r="Z909" s="58">
        <v>342498000</v>
      </c>
      <c r="AA909" s="58">
        <v>67943000</v>
      </c>
      <c r="AB909" s="58">
        <v>0</v>
      </c>
      <c r="AC909" s="58">
        <v>67943000</v>
      </c>
      <c r="AD909" s="58">
        <v>445355000</v>
      </c>
      <c r="AE909" s="58">
        <v>0</v>
      </c>
      <c r="AF909" s="58">
        <v>445355000</v>
      </c>
      <c r="AG909" s="122"/>
      <c r="AH909" s="122"/>
      <c r="AI909" s="122"/>
      <c r="AJ909" s="121">
        <v>1586912</v>
      </c>
      <c r="AK909" s="66">
        <v>829440</v>
      </c>
      <c r="AL909" s="54">
        <v>44929</v>
      </c>
      <c r="AM909" s="116">
        <v>1646</v>
      </c>
      <c r="AN909" s="42">
        <v>5286150</v>
      </c>
      <c r="AO909" s="125">
        <v>4444200</v>
      </c>
      <c r="AP909" s="59"/>
      <c r="AQ909" s="102">
        <v>18857093594812</v>
      </c>
      <c r="AR909" s="102">
        <v>49763878000</v>
      </c>
      <c r="AS909" s="102">
        <v>15467127000</v>
      </c>
      <c r="AT909" s="102">
        <v>129287975000</v>
      </c>
      <c r="AU909" s="55">
        <f t="shared" si="760"/>
        <v>42878331</v>
      </c>
      <c r="AV909" s="99">
        <f t="shared" si="761"/>
        <v>25797607915.595997</v>
      </c>
    </row>
    <row r="910" spans="1:48" ht="15">
      <c r="A910" s="28">
        <v>45007</v>
      </c>
      <c r="B910" s="56">
        <v>81798875000</v>
      </c>
      <c r="C910" s="56">
        <v>0</v>
      </c>
      <c r="D910" s="56">
        <v>0</v>
      </c>
      <c r="E910" s="56">
        <v>0</v>
      </c>
      <c r="F910" s="65">
        <v>81798875000</v>
      </c>
      <c r="G910" s="65">
        <v>22085696</v>
      </c>
      <c r="H910" s="58">
        <v>6474345000</v>
      </c>
      <c r="I910" s="58">
        <v>67230900000</v>
      </c>
      <c r="J910" s="58">
        <v>73705245000</v>
      </c>
      <c r="K910" s="58"/>
      <c r="L910" s="58">
        <v>3135926000</v>
      </c>
      <c r="M910" s="58">
        <v>68194000000</v>
      </c>
      <c r="N910" s="58">
        <v>71329926000</v>
      </c>
      <c r="O910" s="58">
        <v>1458642000</v>
      </c>
      <c r="P910" s="58">
        <v>0</v>
      </c>
      <c r="Q910" s="58">
        <v>1458642000</v>
      </c>
      <c r="R910" s="58">
        <v>192992000</v>
      </c>
      <c r="S910" s="58">
        <v>27552000000</v>
      </c>
      <c r="T910" s="58">
        <v>27744992000</v>
      </c>
      <c r="U910" s="58">
        <v>2537000</v>
      </c>
      <c r="V910" s="58">
        <v>0</v>
      </c>
      <c r="W910" s="58">
        <v>2537000</v>
      </c>
      <c r="X910" s="58">
        <v>339000000</v>
      </c>
      <c r="Y910" s="58">
        <v>0</v>
      </c>
      <c r="Z910" s="58">
        <v>339000000</v>
      </c>
      <c r="AA910" s="58">
        <v>796000</v>
      </c>
      <c r="AB910" s="58">
        <v>0</v>
      </c>
      <c r="AC910" s="58">
        <v>796000</v>
      </c>
      <c r="AD910" s="58">
        <v>434535000</v>
      </c>
      <c r="AE910" s="58">
        <v>0</v>
      </c>
      <c r="AF910" s="58">
        <v>434535000</v>
      </c>
      <c r="AG910" s="122"/>
      <c r="AH910" s="122"/>
      <c r="AI910" s="122"/>
      <c r="AJ910" s="121">
        <v>30636029</v>
      </c>
      <c r="AK910" s="66">
        <v>1298790</v>
      </c>
      <c r="AL910" s="54">
        <v>44929</v>
      </c>
      <c r="AM910" s="116">
        <v>2235</v>
      </c>
      <c r="AN910" s="42">
        <v>989400</v>
      </c>
      <c r="AO910" s="125">
        <v>6034500</v>
      </c>
      <c r="AP910" s="59"/>
      <c r="AQ910" s="102">
        <v>19590416815814</v>
      </c>
      <c r="AR910" s="102">
        <v>420340676000</v>
      </c>
      <c r="AS910" s="102">
        <v>311222073000</v>
      </c>
      <c r="AT910" s="102">
        <v>393020948000</v>
      </c>
      <c r="AU910" s="55">
        <f t="shared" si="760"/>
        <v>61044415</v>
      </c>
      <c r="AV910" s="99">
        <f t="shared" si="761"/>
        <v>25858652330.595997</v>
      </c>
    </row>
    <row r="911" spans="1:48" ht="15">
      <c r="A911" s="28">
        <v>45008</v>
      </c>
      <c r="B911" s="56">
        <v>77614360000</v>
      </c>
      <c r="C911" s="56">
        <v>0</v>
      </c>
      <c r="D911" s="56">
        <v>0</v>
      </c>
      <c r="E911" s="56">
        <v>0</v>
      </c>
      <c r="F911" s="65">
        <v>77614360000</v>
      </c>
      <c r="G911" s="65">
        <v>20955877</v>
      </c>
      <c r="H911" s="58">
        <v>4499623000</v>
      </c>
      <c r="I911" s="58">
        <v>0</v>
      </c>
      <c r="J911" s="58">
        <v>4499623000</v>
      </c>
      <c r="K911" s="58"/>
      <c r="L911" s="58">
        <v>30680381000</v>
      </c>
      <c r="M911" s="58">
        <v>2182500000</v>
      </c>
      <c r="N911" s="58">
        <v>32862881000</v>
      </c>
      <c r="O911" s="58">
        <v>492353000</v>
      </c>
      <c r="P911" s="58">
        <v>0</v>
      </c>
      <c r="Q911" s="58">
        <v>492353000</v>
      </c>
      <c r="R911" s="58">
        <v>544128000</v>
      </c>
      <c r="S911" s="58">
        <v>0</v>
      </c>
      <c r="T911" s="58">
        <v>544128000</v>
      </c>
      <c r="U911" s="58">
        <v>12769000</v>
      </c>
      <c r="V911" s="58">
        <v>0</v>
      </c>
      <c r="W911" s="58">
        <v>12769000</v>
      </c>
      <c r="X911" s="58">
        <v>342514000</v>
      </c>
      <c r="Y911" s="58">
        <v>0</v>
      </c>
      <c r="Z911" s="58">
        <v>342514000</v>
      </c>
      <c r="AA911" s="58">
        <v>74618000</v>
      </c>
      <c r="AB911" s="58">
        <v>0</v>
      </c>
      <c r="AC911" s="58">
        <v>74618000</v>
      </c>
      <c r="AD911" s="58">
        <v>445000000</v>
      </c>
      <c r="AE911" s="58">
        <v>0</v>
      </c>
      <c r="AF911" s="58">
        <v>445000000</v>
      </c>
      <c r="AG911" s="122"/>
      <c r="AH911" s="122"/>
      <c r="AI911" s="122"/>
      <c r="AJ911" s="121">
        <v>4398720</v>
      </c>
      <c r="AK911" s="66">
        <v>249060</v>
      </c>
      <c r="AL911" s="54">
        <v>44929</v>
      </c>
      <c r="AM911" s="116">
        <v>1590</v>
      </c>
      <c r="AN911" s="42">
        <v>2509200</v>
      </c>
      <c r="AO911" s="125">
        <v>4293000</v>
      </c>
      <c r="AP911" s="59"/>
      <c r="AQ911" s="102">
        <v>17289515973216</v>
      </c>
      <c r="AR911" s="102">
        <v>113941914000</v>
      </c>
      <c r="AS911" s="102">
        <v>42629686000</v>
      </c>
      <c r="AT911" s="102">
        <v>120244046000</v>
      </c>
      <c r="AU911" s="55">
        <f t="shared" si="760"/>
        <v>32405857</v>
      </c>
      <c r="AV911" s="99">
        <f t="shared" si="761"/>
        <v>25891058187.595997</v>
      </c>
    </row>
    <row r="912" spans="1:48" ht="15">
      <c r="A912" s="28">
        <v>45009</v>
      </c>
      <c r="B912" s="56">
        <v>61780000000</v>
      </c>
      <c r="C912" s="56">
        <v>0</v>
      </c>
      <c r="D912" s="56">
        <v>0</v>
      </c>
      <c r="E912" s="56">
        <v>0</v>
      </c>
      <c r="F912" s="65">
        <v>61780000000</v>
      </c>
      <c r="G912" s="65">
        <v>16680600</v>
      </c>
      <c r="H912" s="58">
        <v>4397942000</v>
      </c>
      <c r="I912" s="58">
        <v>1799900000</v>
      </c>
      <c r="J912" s="58">
        <v>6197842000</v>
      </c>
      <c r="K912" s="58"/>
      <c r="L912" s="58">
        <v>8597773000</v>
      </c>
      <c r="M912" s="58">
        <v>2202500000</v>
      </c>
      <c r="N912" s="58">
        <v>10800273000</v>
      </c>
      <c r="O912" s="58">
        <v>187500000</v>
      </c>
      <c r="P912" s="58">
        <v>0</v>
      </c>
      <c r="Q912" s="58">
        <v>187500000</v>
      </c>
      <c r="R912" s="58">
        <v>518194000</v>
      </c>
      <c r="S912" s="58">
        <v>0</v>
      </c>
      <c r="T912" s="58">
        <v>518194000</v>
      </c>
      <c r="U912" s="58">
        <v>152018000</v>
      </c>
      <c r="V912" s="58">
        <v>0</v>
      </c>
      <c r="W912" s="58">
        <v>152018000</v>
      </c>
      <c r="X912" s="58">
        <v>54993000</v>
      </c>
      <c r="Y912" s="58">
        <v>0</v>
      </c>
      <c r="Z912" s="58">
        <v>54993000</v>
      </c>
      <c r="AA912" s="58">
        <v>117755000</v>
      </c>
      <c r="AB912" s="58">
        <v>0</v>
      </c>
      <c r="AC912" s="58">
        <v>117755000</v>
      </c>
      <c r="AD912" s="58">
        <v>906000</v>
      </c>
      <c r="AE912" s="58">
        <v>0</v>
      </c>
      <c r="AF912" s="58">
        <v>906000</v>
      </c>
      <c r="AG912" s="122"/>
      <c r="AH912" s="122"/>
      <c r="AI912" s="122"/>
      <c r="AJ912" s="121">
        <v>2235357</v>
      </c>
      <c r="AK912" s="66">
        <v>194610</v>
      </c>
      <c r="AL912" s="54">
        <v>44929</v>
      </c>
      <c r="AM912" s="116">
        <v>1264</v>
      </c>
      <c r="AN912" s="42">
        <v>11214900</v>
      </c>
      <c r="AO912" s="125">
        <v>3412800</v>
      </c>
      <c r="AP912" s="59"/>
      <c r="AQ912" s="102">
        <v>21383284854018</v>
      </c>
      <c r="AR912" s="102">
        <v>52035236000</v>
      </c>
      <c r="AS912" s="102">
        <v>23767781000</v>
      </c>
      <c r="AT912" s="102">
        <v>85547781000</v>
      </c>
      <c r="AU912" s="55">
        <f t="shared" si="760"/>
        <v>33738267</v>
      </c>
      <c r="AV912" s="99">
        <f t="shared" si="761"/>
        <v>25924796454.595997</v>
      </c>
    </row>
    <row r="913" spans="1:48" ht="15">
      <c r="A913" s="28">
        <v>45012</v>
      </c>
      <c r="B913" s="56">
        <v>90307645000</v>
      </c>
      <c r="C913" s="56">
        <v>0</v>
      </c>
      <c r="D913" s="56">
        <v>0</v>
      </c>
      <c r="E913" s="56">
        <v>0</v>
      </c>
      <c r="F913" s="65">
        <v>90307645000</v>
      </c>
      <c r="G913" s="65">
        <v>24383064</v>
      </c>
      <c r="H913" s="58">
        <v>5939637000</v>
      </c>
      <c r="I913" s="58">
        <v>55550100000</v>
      </c>
      <c r="J913" s="58">
        <v>61489737000</v>
      </c>
      <c r="K913" s="58"/>
      <c r="L913" s="58">
        <v>1996493000</v>
      </c>
      <c r="M913" s="58">
        <v>0</v>
      </c>
      <c r="N913" s="58">
        <v>1996493000</v>
      </c>
      <c r="O913" s="58">
        <v>230222000</v>
      </c>
      <c r="P913" s="58">
        <v>0</v>
      </c>
      <c r="Q913" s="58">
        <v>230222000</v>
      </c>
      <c r="R913" s="58">
        <v>906743000</v>
      </c>
      <c r="S913" s="58">
        <v>0</v>
      </c>
      <c r="T913" s="58">
        <v>906743000</v>
      </c>
      <c r="U913" s="58">
        <v>9054000</v>
      </c>
      <c r="V913" s="58">
        <v>0</v>
      </c>
      <c r="W913" s="58">
        <v>9054000</v>
      </c>
      <c r="X913" s="58">
        <v>363610000</v>
      </c>
      <c r="Y913" s="58">
        <v>0</v>
      </c>
      <c r="Z913" s="58">
        <v>363610000</v>
      </c>
      <c r="AA913" s="58">
        <v>8069000</v>
      </c>
      <c r="AB913" s="58">
        <v>0</v>
      </c>
      <c r="AC913" s="58">
        <v>8069000</v>
      </c>
      <c r="AD913" s="58">
        <v>465588000</v>
      </c>
      <c r="AE913" s="58">
        <v>0</v>
      </c>
      <c r="AF913" s="58">
        <v>465588000</v>
      </c>
      <c r="AG913" s="122"/>
      <c r="AH913" s="122"/>
      <c r="AI913" s="122"/>
      <c r="AJ913" s="121">
        <v>11070315</v>
      </c>
      <c r="AK913" s="66">
        <v>667650</v>
      </c>
      <c r="AL913" s="54">
        <v>44929</v>
      </c>
      <c r="AM913" s="116">
        <v>1495</v>
      </c>
      <c r="AN913" s="42">
        <v>4250850</v>
      </c>
      <c r="AO913" s="125">
        <v>4036500</v>
      </c>
      <c r="AP913" s="59"/>
      <c r="AQ913" s="102">
        <v>21725629747824</v>
      </c>
      <c r="AR913" s="102">
        <v>145846006000</v>
      </c>
      <c r="AS913" s="102">
        <v>122414016000</v>
      </c>
      <c r="AT913" s="102">
        <v>212721661000</v>
      </c>
      <c r="AU913" s="55">
        <f t="shared" si="760"/>
        <v>44408379</v>
      </c>
      <c r="AV913" s="99">
        <f t="shared" si="761"/>
        <v>25969204833.595997</v>
      </c>
    </row>
    <row r="914" spans="1:48" ht="15">
      <c r="A914" s="28">
        <v>45013</v>
      </c>
      <c r="B914" s="56">
        <v>119674150000</v>
      </c>
      <c r="C914" s="56">
        <v>0</v>
      </c>
      <c r="D914" s="56">
        <v>0</v>
      </c>
      <c r="E914" s="56">
        <v>0</v>
      </c>
      <c r="F914" s="65">
        <v>119674150000</v>
      </c>
      <c r="G914" s="65">
        <v>32312021</v>
      </c>
      <c r="H914" s="58">
        <v>5919693000</v>
      </c>
      <c r="I914" s="58">
        <v>28919000000</v>
      </c>
      <c r="J914" s="58">
        <v>34838693000</v>
      </c>
      <c r="K914" s="58"/>
      <c r="L914" s="58">
        <v>22877828000</v>
      </c>
      <c r="M914" s="58">
        <v>22305000000</v>
      </c>
      <c r="N914" s="58">
        <v>45182828000</v>
      </c>
      <c r="O914" s="58">
        <v>978892000</v>
      </c>
      <c r="P914" s="58">
        <v>0</v>
      </c>
      <c r="Q914" s="58">
        <v>978892000</v>
      </c>
      <c r="R914" s="58">
        <v>894853000</v>
      </c>
      <c r="S914" s="58">
        <v>0</v>
      </c>
      <c r="T914" s="58">
        <v>894853000</v>
      </c>
      <c r="U914" s="58">
        <v>161450000</v>
      </c>
      <c r="V914" s="58">
        <v>0</v>
      </c>
      <c r="W914" s="58">
        <v>161450000</v>
      </c>
      <c r="X914" s="58">
        <v>366348000</v>
      </c>
      <c r="Y914" s="58">
        <v>0</v>
      </c>
      <c r="Z914" s="58">
        <v>366348000</v>
      </c>
      <c r="AA914" s="58">
        <v>64862000</v>
      </c>
      <c r="AB914" s="58">
        <v>0</v>
      </c>
      <c r="AC914" s="58">
        <v>64862000</v>
      </c>
      <c r="AD914" s="58">
        <v>469720000</v>
      </c>
      <c r="AE914" s="58">
        <v>0</v>
      </c>
      <c r="AF914" s="58">
        <v>469720000</v>
      </c>
      <c r="AG914" s="122"/>
      <c r="AH914" s="122"/>
      <c r="AI914" s="122"/>
      <c r="AJ914" s="121">
        <v>12647554</v>
      </c>
      <c r="AK914" s="66">
        <v>1006410</v>
      </c>
      <c r="AL914" s="54">
        <v>44929</v>
      </c>
      <c r="AM914" s="116">
        <v>1243</v>
      </c>
      <c r="AN914" s="42">
        <v>5502900</v>
      </c>
      <c r="AO914" s="125">
        <v>3356100</v>
      </c>
      <c r="AP914" s="59"/>
      <c r="AQ914" s="102">
        <v>25404517464426</v>
      </c>
      <c r="AR914" s="102">
        <v>183418564000</v>
      </c>
      <c r="AS914" s="102">
        <v>135385846000</v>
      </c>
      <c r="AT914" s="102">
        <v>255059996000</v>
      </c>
      <c r="AU914" s="55">
        <f t="shared" si="760"/>
        <v>54824985</v>
      </c>
      <c r="AV914" s="99">
        <f t="shared" si="761"/>
        <v>26024029818.595997</v>
      </c>
    </row>
    <row r="915" spans="1:48" ht="15">
      <c r="A915" s="28">
        <v>45014</v>
      </c>
      <c r="B915" s="56">
        <v>86282545000</v>
      </c>
      <c r="C915" s="56">
        <v>0</v>
      </c>
      <c r="D915" s="56">
        <v>0</v>
      </c>
      <c r="E915" s="56">
        <v>0</v>
      </c>
      <c r="F915" s="65">
        <v>86282545000</v>
      </c>
      <c r="G915" s="65">
        <v>23296287</v>
      </c>
      <c r="H915" s="58">
        <v>6213227000</v>
      </c>
      <c r="I915" s="58">
        <v>3604600000</v>
      </c>
      <c r="J915" s="58">
        <v>9817827000</v>
      </c>
      <c r="K915" s="58"/>
      <c r="L915" s="58">
        <v>3388656000</v>
      </c>
      <c r="M915" s="58">
        <v>0</v>
      </c>
      <c r="N915" s="58">
        <v>3388656000</v>
      </c>
      <c r="O915" s="58">
        <v>218853000</v>
      </c>
      <c r="P915" s="58">
        <v>0</v>
      </c>
      <c r="Q915" s="58">
        <v>218853000</v>
      </c>
      <c r="R915" s="58">
        <v>763090000</v>
      </c>
      <c r="S915" s="58">
        <v>0</v>
      </c>
      <c r="T915" s="58">
        <v>763090000</v>
      </c>
      <c r="U915" s="58">
        <v>78000000</v>
      </c>
      <c r="V915" s="58">
        <v>0</v>
      </c>
      <c r="W915" s="58">
        <v>78000000</v>
      </c>
      <c r="X915" s="58">
        <v>348309000</v>
      </c>
      <c r="Y915" s="58">
        <v>0</v>
      </c>
      <c r="Z915" s="58">
        <v>348309000</v>
      </c>
      <c r="AA915" s="58">
        <v>17820000</v>
      </c>
      <c r="AB915" s="58">
        <v>0</v>
      </c>
      <c r="AC915" s="58">
        <v>17820000</v>
      </c>
      <c r="AD915" s="58">
        <v>458500000</v>
      </c>
      <c r="AE915" s="58">
        <v>0</v>
      </c>
      <c r="AF915" s="58">
        <v>458500000</v>
      </c>
      <c r="AG915" s="122"/>
      <c r="AH915" s="122"/>
      <c r="AI915" s="122"/>
      <c r="AJ915" s="121">
        <v>1889365</v>
      </c>
      <c r="AK915" s="66">
        <v>864900</v>
      </c>
      <c r="AL915" s="54">
        <v>44929</v>
      </c>
      <c r="AM915" s="116">
        <v>576</v>
      </c>
      <c r="AN915" s="42">
        <v>5054100</v>
      </c>
      <c r="AO915" s="125">
        <v>1555200</v>
      </c>
      <c r="AP915" s="59"/>
      <c r="AQ915" s="102">
        <v>18714095746028</v>
      </c>
      <c r="AR915" s="102">
        <v>64009978000</v>
      </c>
      <c r="AS915" s="102">
        <v>19896955000</v>
      </c>
      <c r="AT915" s="102">
        <v>106179500000</v>
      </c>
      <c r="AU915" s="55">
        <f t="shared" si="760"/>
        <v>32659852</v>
      </c>
      <c r="AV915" s="99">
        <f t="shared" si="761"/>
        <v>26056689670.595997</v>
      </c>
    </row>
    <row r="916" spans="1:48" ht="15">
      <c r="A916" s="28">
        <v>45015</v>
      </c>
      <c r="B916" s="56">
        <v>102473810000</v>
      </c>
      <c r="C916" s="56">
        <v>0</v>
      </c>
      <c r="D916" s="56">
        <v>0</v>
      </c>
      <c r="E916" s="56">
        <v>0</v>
      </c>
      <c r="F916" s="65">
        <v>102473810000</v>
      </c>
      <c r="G916" s="65">
        <v>27667929</v>
      </c>
      <c r="H916" s="58">
        <v>2343479000</v>
      </c>
      <c r="I916" s="58">
        <v>0</v>
      </c>
      <c r="J916" s="58">
        <v>2343479000</v>
      </c>
      <c r="K916" s="58"/>
      <c r="L916" s="58">
        <v>29959902000</v>
      </c>
      <c r="M916" s="58">
        <v>0</v>
      </c>
      <c r="N916" s="58">
        <v>29959902000</v>
      </c>
      <c r="O916" s="58">
        <v>135463000</v>
      </c>
      <c r="P916" s="58">
        <v>0</v>
      </c>
      <c r="Q916" s="58">
        <v>135463000</v>
      </c>
      <c r="R916" s="58">
        <v>655089000</v>
      </c>
      <c r="S916" s="58">
        <v>0</v>
      </c>
      <c r="T916" s="58">
        <v>655089000</v>
      </c>
      <c r="U916" s="58">
        <v>84104000</v>
      </c>
      <c r="V916" s="58">
        <v>0</v>
      </c>
      <c r="W916" s="58">
        <v>84104000</v>
      </c>
      <c r="X916" s="58">
        <v>377376000</v>
      </c>
      <c r="Y916" s="58">
        <v>0</v>
      </c>
      <c r="Z916" s="58">
        <v>377376000</v>
      </c>
      <c r="AA916" s="58">
        <v>216528000</v>
      </c>
      <c r="AB916" s="58">
        <v>0</v>
      </c>
      <c r="AC916" s="58">
        <v>216528000</v>
      </c>
      <c r="AD916" s="58">
        <v>465000000</v>
      </c>
      <c r="AE916" s="58">
        <v>0</v>
      </c>
      <c r="AF916" s="58">
        <v>465000000</v>
      </c>
      <c r="AG916" s="122"/>
      <c r="AH916" s="122"/>
      <c r="AI916" s="122"/>
      <c r="AJ916" s="121">
        <v>3697590</v>
      </c>
      <c r="AK916" s="66">
        <v>381900</v>
      </c>
      <c r="AL916" s="54">
        <v>44929</v>
      </c>
      <c r="AM916" s="116">
        <v>1428</v>
      </c>
      <c r="AN916" s="42">
        <v>6451500</v>
      </c>
      <c r="AO916" s="125">
        <v>3855600</v>
      </c>
      <c r="AP916" s="59"/>
      <c r="AQ916" s="102">
        <v>24800045849030</v>
      </c>
      <c r="AR916" s="102">
        <v>132143346000</v>
      </c>
      <c r="AS916" s="102">
        <v>35456741000</v>
      </c>
      <c r="AT916" s="102">
        <v>137930551000</v>
      </c>
      <c r="AU916" s="55">
        <f t="shared" si="760"/>
        <v>42054519</v>
      </c>
      <c r="AV916" s="99">
        <f t="shared" si="761"/>
        <v>26098744189.595997</v>
      </c>
    </row>
    <row r="917" spans="1:48" ht="15">
      <c r="A917" s="28">
        <v>45016</v>
      </c>
      <c r="B917" s="56">
        <v>120820555000.53</v>
      </c>
      <c r="C917" s="56">
        <v>0</v>
      </c>
      <c r="D917" s="56">
        <v>0</v>
      </c>
      <c r="E917" s="56">
        <v>0</v>
      </c>
      <c r="F917" s="65">
        <v>120820555000.53</v>
      </c>
      <c r="G917" s="65">
        <v>32621550</v>
      </c>
      <c r="H917" s="58">
        <v>2883052000</v>
      </c>
      <c r="I917" s="58">
        <v>5502300000</v>
      </c>
      <c r="J917" s="58">
        <v>8385352000</v>
      </c>
      <c r="K917" s="58"/>
      <c r="L917" s="58">
        <v>30221396000</v>
      </c>
      <c r="M917" s="58">
        <v>0</v>
      </c>
      <c r="N917" s="58">
        <v>30221396000</v>
      </c>
      <c r="O917" s="58">
        <v>269461000</v>
      </c>
      <c r="P917" s="58">
        <v>0</v>
      </c>
      <c r="Q917" s="58">
        <v>269461000</v>
      </c>
      <c r="R917" s="58">
        <v>582235000</v>
      </c>
      <c r="S917" s="58">
        <v>0</v>
      </c>
      <c r="T917" s="58">
        <v>582235000</v>
      </c>
      <c r="U917" s="58">
        <v>39640000</v>
      </c>
      <c r="V917" s="58">
        <v>0</v>
      </c>
      <c r="W917" s="58">
        <v>39640000</v>
      </c>
      <c r="X917" s="58">
        <v>355885000</v>
      </c>
      <c r="Y917" s="58">
        <v>0</v>
      </c>
      <c r="Z917" s="58">
        <v>355885000</v>
      </c>
      <c r="AA917" s="58">
        <v>56304000</v>
      </c>
      <c r="AB917" s="58">
        <v>0</v>
      </c>
      <c r="AC917" s="58">
        <v>56304000</v>
      </c>
      <c r="AD917" s="58">
        <v>486100000</v>
      </c>
      <c r="AE917" s="58">
        <v>0</v>
      </c>
      <c r="AF917" s="58">
        <v>486100000</v>
      </c>
      <c r="AG917" s="122"/>
      <c r="AH917" s="122"/>
      <c r="AI917" s="122"/>
      <c r="AJ917" s="121">
        <v>4758974</v>
      </c>
      <c r="AK917" s="66">
        <v>639990</v>
      </c>
      <c r="AL917" s="54">
        <v>44929</v>
      </c>
      <c r="AM917" s="116">
        <v>1731</v>
      </c>
      <c r="AN917" s="42">
        <v>20020050</v>
      </c>
      <c r="AO917" s="125">
        <v>4673700</v>
      </c>
      <c r="AP917" s="59"/>
      <c r="AQ917" s="102">
        <v>26629423256032</v>
      </c>
      <c r="AR917" s="102">
        <v>124775664000</v>
      </c>
      <c r="AS917" s="102">
        <v>47121273000</v>
      </c>
      <c r="AT917" s="102">
        <v>167941828000.53</v>
      </c>
      <c r="AU917" s="55">
        <f t="shared" si="760"/>
        <v>62714264</v>
      </c>
      <c r="AV917" s="99">
        <f t="shared" si="761"/>
        <v>26161458453.595997</v>
      </c>
    </row>
    <row r="918" spans="1:48" ht="15">
      <c r="A918" s="28">
        <v>45019</v>
      </c>
      <c r="B918" s="56">
        <v>53083485000</v>
      </c>
      <c r="C918" s="56">
        <v>0</v>
      </c>
      <c r="D918" s="56">
        <v>0</v>
      </c>
      <c r="E918" s="56">
        <v>0</v>
      </c>
      <c r="F918" s="65">
        <v>53083485000</v>
      </c>
      <c r="G918" s="65">
        <v>14332541</v>
      </c>
      <c r="H918" s="58">
        <v>10860194000</v>
      </c>
      <c r="I918" s="58">
        <v>24054700000</v>
      </c>
      <c r="J918" s="58">
        <v>34914894000</v>
      </c>
      <c r="K918" s="58"/>
      <c r="L918" s="58">
        <v>30255910000</v>
      </c>
      <c r="M918" s="58">
        <v>4516000000</v>
      </c>
      <c r="N918" s="58">
        <v>34771910000</v>
      </c>
      <c r="O918" s="58">
        <v>390505000</v>
      </c>
      <c r="P918" s="58">
        <v>0</v>
      </c>
      <c r="Q918" s="58">
        <v>390505000</v>
      </c>
      <c r="R918" s="58">
        <v>745886000</v>
      </c>
      <c r="S918" s="58">
        <v>0</v>
      </c>
      <c r="T918" s="58">
        <v>745886000</v>
      </c>
      <c r="U918" s="58">
        <v>105168000</v>
      </c>
      <c r="V918" s="58">
        <v>0</v>
      </c>
      <c r="W918" s="58">
        <v>105168000</v>
      </c>
      <c r="X918" s="58">
        <v>371565000</v>
      </c>
      <c r="Y918" s="58">
        <v>0</v>
      </c>
      <c r="Z918" s="58">
        <v>371565000</v>
      </c>
      <c r="AA918" s="58">
        <v>152730000</v>
      </c>
      <c r="AB918" s="58">
        <v>0</v>
      </c>
      <c r="AC918" s="58">
        <v>152730000</v>
      </c>
      <c r="AD918" s="58">
        <v>469441000</v>
      </c>
      <c r="AE918" s="58">
        <v>0</v>
      </c>
      <c r="AF918" s="58">
        <v>469441000</v>
      </c>
      <c r="AG918" s="122"/>
      <c r="AH918" s="122"/>
      <c r="AI918" s="122"/>
      <c r="AJ918" s="121">
        <v>9824677</v>
      </c>
      <c r="AK918" s="66">
        <v>632730</v>
      </c>
      <c r="AL918" s="54">
        <v>44930</v>
      </c>
      <c r="AM918" s="116">
        <v>1622</v>
      </c>
      <c r="AN918" s="42">
        <v>5214750</v>
      </c>
      <c r="AO918" s="125">
        <v>4379400</v>
      </c>
      <c r="AP918" s="59"/>
      <c r="AQ918" s="102">
        <v>32742205210038</v>
      </c>
      <c r="AR918" s="102">
        <v>216488046000</v>
      </c>
      <c r="AS918" s="102">
        <v>101721199000</v>
      </c>
      <c r="AT918" s="102">
        <v>154804684000</v>
      </c>
      <c r="AU918" s="55">
        <f t="shared" ref="AU918:AU938" si="762">G918+AJ918+AK918+AN918+AO918+AP918</f>
        <v>34384098</v>
      </c>
      <c r="AV918" s="99">
        <f t="shared" ref="AV918:AV938" si="763">AV917+AU918</f>
        <v>26195842551.595997</v>
      </c>
    </row>
    <row r="919" spans="1:48" ht="15">
      <c r="A919" s="28">
        <v>45020</v>
      </c>
      <c r="B919" s="56">
        <v>66769865000</v>
      </c>
      <c r="C919" s="56">
        <v>0</v>
      </c>
      <c r="D919" s="56">
        <v>0</v>
      </c>
      <c r="E919" s="56">
        <v>0</v>
      </c>
      <c r="F919" s="65">
        <v>66769865000</v>
      </c>
      <c r="G919" s="65">
        <v>18027864</v>
      </c>
      <c r="H919" s="58">
        <v>24021260000</v>
      </c>
      <c r="I919" s="58">
        <v>35178900000</v>
      </c>
      <c r="J919" s="58">
        <v>59200160000</v>
      </c>
      <c r="K919" s="58"/>
      <c r="L919" s="58">
        <v>25292715000</v>
      </c>
      <c r="M919" s="58">
        <v>0</v>
      </c>
      <c r="N919" s="58">
        <v>25292715000</v>
      </c>
      <c r="O919" s="58">
        <v>1226684000</v>
      </c>
      <c r="P919" s="58">
        <v>0</v>
      </c>
      <c r="Q919" s="58">
        <v>1226684000</v>
      </c>
      <c r="R919" s="58">
        <v>673717000</v>
      </c>
      <c r="S919" s="58">
        <v>0</v>
      </c>
      <c r="T919" s="58">
        <v>673717000</v>
      </c>
      <c r="U919" s="58">
        <v>156011000</v>
      </c>
      <c r="V919" s="58">
        <v>0</v>
      </c>
      <c r="W919" s="58">
        <v>156011000</v>
      </c>
      <c r="X919" s="58">
        <v>352500000</v>
      </c>
      <c r="Y919" s="58">
        <v>0</v>
      </c>
      <c r="Z919" s="58">
        <v>352500000</v>
      </c>
      <c r="AA919" s="58">
        <v>130666000</v>
      </c>
      <c r="AB919" s="58">
        <v>0</v>
      </c>
      <c r="AC919" s="58">
        <v>130666000</v>
      </c>
      <c r="AD919" s="58">
        <v>480825000</v>
      </c>
      <c r="AE919" s="58">
        <v>0</v>
      </c>
      <c r="AF919" s="58">
        <v>480825000</v>
      </c>
      <c r="AG919" s="122"/>
      <c r="AH919" s="122"/>
      <c r="AI919" s="122"/>
      <c r="AJ919" s="121">
        <v>11984315</v>
      </c>
      <c r="AK919" s="66">
        <v>828450</v>
      </c>
      <c r="AL919" s="54">
        <v>44931</v>
      </c>
      <c r="AM919" s="116">
        <v>844</v>
      </c>
      <c r="AN919" s="42">
        <v>4847550</v>
      </c>
      <c r="AO919" s="125">
        <v>2278800</v>
      </c>
      <c r="AP919" s="59"/>
      <c r="AQ919" s="102">
        <v>30968068397040</v>
      </c>
      <c r="AR919" s="102">
        <v>288758668000</v>
      </c>
      <c r="AS919" s="102">
        <v>123933243000</v>
      </c>
      <c r="AT919" s="102">
        <v>190703108000</v>
      </c>
      <c r="AU919" s="55">
        <f t="shared" si="762"/>
        <v>37966979</v>
      </c>
      <c r="AV919" s="99">
        <f t="shared" si="763"/>
        <v>26233809530.595997</v>
      </c>
    </row>
    <row r="920" spans="1:48" ht="15">
      <c r="A920" s="28">
        <v>45021</v>
      </c>
      <c r="B920" s="56">
        <v>87694412000</v>
      </c>
      <c r="C920" s="56">
        <v>0</v>
      </c>
      <c r="D920" s="56">
        <v>0</v>
      </c>
      <c r="E920" s="56">
        <v>0</v>
      </c>
      <c r="F920" s="65">
        <v>87694412000</v>
      </c>
      <c r="G920" s="65">
        <v>23677491</v>
      </c>
      <c r="H920" s="58">
        <v>1756886000</v>
      </c>
      <c r="I920" s="58">
        <v>11088000000</v>
      </c>
      <c r="J920" s="58">
        <v>12844886000</v>
      </c>
      <c r="K920" s="58"/>
      <c r="L920" s="58">
        <v>8247953000</v>
      </c>
      <c r="M920" s="58">
        <v>2280500000</v>
      </c>
      <c r="N920" s="58">
        <v>10528453000</v>
      </c>
      <c r="O920" s="58">
        <v>1552930000</v>
      </c>
      <c r="P920" s="58">
        <v>0</v>
      </c>
      <c r="Q920" s="58">
        <v>1552930000</v>
      </c>
      <c r="R920" s="58">
        <v>608853000</v>
      </c>
      <c r="S920" s="58">
        <v>0</v>
      </c>
      <c r="T920" s="58">
        <v>608853000</v>
      </c>
      <c r="U920" s="58">
        <v>82504000</v>
      </c>
      <c r="V920" s="58">
        <v>0</v>
      </c>
      <c r="W920" s="58">
        <v>82504000</v>
      </c>
      <c r="X920" s="58">
        <v>353413000</v>
      </c>
      <c r="Y920" s="58">
        <v>0</v>
      </c>
      <c r="Z920" s="58">
        <v>353413000</v>
      </c>
      <c r="AA920" s="58">
        <v>182069000</v>
      </c>
      <c r="AB920" s="58">
        <v>0</v>
      </c>
      <c r="AC920" s="58">
        <v>182069000</v>
      </c>
      <c r="AD920" s="58">
        <v>481520000</v>
      </c>
      <c r="AE920" s="58">
        <v>0</v>
      </c>
      <c r="AF920" s="58">
        <v>481520000</v>
      </c>
      <c r="AG920" s="122"/>
      <c r="AH920" s="122"/>
      <c r="AI920" s="122"/>
      <c r="AJ920" s="121">
        <v>3839072</v>
      </c>
      <c r="AK920" s="66">
        <v>626820</v>
      </c>
      <c r="AL920" s="54">
        <v>44932</v>
      </c>
      <c r="AM920" s="116">
        <v>1090</v>
      </c>
      <c r="AN920" s="42">
        <v>4674150</v>
      </c>
      <c r="AO920" s="125">
        <v>2943000</v>
      </c>
      <c r="AP920" s="59"/>
      <c r="AQ920" s="102">
        <v>30561447646442</v>
      </c>
      <c r="AR920" s="102">
        <v>73623968000</v>
      </c>
      <c r="AS920" s="102">
        <v>41240128000</v>
      </c>
      <c r="AT920" s="102">
        <v>128934540000</v>
      </c>
      <c r="AU920" s="55">
        <f t="shared" si="762"/>
        <v>35760533</v>
      </c>
      <c r="AV920" s="99">
        <f t="shared" si="763"/>
        <v>26269570063.595997</v>
      </c>
    </row>
    <row r="921" spans="1:48" ht="15">
      <c r="A921" s="28">
        <v>45022</v>
      </c>
      <c r="B921" s="56">
        <v>60631932000</v>
      </c>
      <c r="C921" s="56">
        <v>0</v>
      </c>
      <c r="D921" s="56">
        <v>0</v>
      </c>
      <c r="E921" s="56">
        <v>0</v>
      </c>
      <c r="F921" s="65">
        <v>60631932000</v>
      </c>
      <c r="G921" s="65">
        <v>16370622</v>
      </c>
      <c r="H921" s="58">
        <v>5233106000</v>
      </c>
      <c r="I921" s="58">
        <v>0</v>
      </c>
      <c r="J921" s="58">
        <v>5233106000</v>
      </c>
      <c r="K921" s="58"/>
      <c r="L921" s="58">
        <v>24415003000</v>
      </c>
      <c r="M921" s="58">
        <v>0</v>
      </c>
      <c r="N921" s="58">
        <v>24415003000</v>
      </c>
      <c r="O921" s="58">
        <v>298941000</v>
      </c>
      <c r="P921" s="58">
        <v>0</v>
      </c>
      <c r="Q921" s="58">
        <v>298941000</v>
      </c>
      <c r="R921" s="58">
        <v>1752185000</v>
      </c>
      <c r="S921" s="58">
        <v>0</v>
      </c>
      <c r="T921" s="58">
        <v>1752185000</v>
      </c>
      <c r="U921" s="58">
        <v>42787000</v>
      </c>
      <c r="V921" s="58">
        <v>0</v>
      </c>
      <c r="W921" s="58">
        <v>42787000</v>
      </c>
      <c r="X921" s="58">
        <v>371799000</v>
      </c>
      <c r="Y921" s="58">
        <v>0</v>
      </c>
      <c r="Z921" s="58">
        <v>371799000</v>
      </c>
      <c r="AA921" s="58">
        <v>74933000</v>
      </c>
      <c r="AB921" s="58">
        <v>0</v>
      </c>
      <c r="AC921" s="58">
        <v>74933000</v>
      </c>
      <c r="AD921" s="58">
        <v>485391000</v>
      </c>
      <c r="AE921" s="58">
        <v>0</v>
      </c>
      <c r="AF921" s="58">
        <v>485391000</v>
      </c>
      <c r="AG921" s="122"/>
      <c r="AH921" s="122"/>
      <c r="AI921" s="122"/>
      <c r="AJ921" s="121">
        <v>3528808</v>
      </c>
      <c r="AK921" s="66">
        <v>696120</v>
      </c>
      <c r="AL921" s="54">
        <v>44933</v>
      </c>
      <c r="AM921" s="116">
        <v>759</v>
      </c>
      <c r="AN921" s="42">
        <v>4952100</v>
      </c>
      <c r="AO921" s="125">
        <v>2049300</v>
      </c>
      <c r="AP921" s="59"/>
      <c r="AQ921" s="102">
        <v>37317040724044</v>
      </c>
      <c r="AR921" s="102">
        <v>247670758000</v>
      </c>
      <c r="AS921" s="102">
        <v>108130245000</v>
      </c>
      <c r="AT921" s="102">
        <v>168762177000</v>
      </c>
      <c r="AU921" s="55">
        <f t="shared" si="762"/>
        <v>27596950</v>
      </c>
      <c r="AV921" s="99">
        <f t="shared" si="763"/>
        <v>26297167013.595997</v>
      </c>
    </row>
    <row r="922" spans="1:48" ht="15">
      <c r="A922" s="28">
        <v>45023</v>
      </c>
      <c r="B922" s="56">
        <v>33818629000</v>
      </c>
      <c r="C922" s="56">
        <v>0</v>
      </c>
      <c r="D922" s="56">
        <v>0</v>
      </c>
      <c r="E922" s="56">
        <v>0</v>
      </c>
      <c r="F922" s="65">
        <v>33818629000</v>
      </c>
      <c r="G922" s="65">
        <v>9131030</v>
      </c>
      <c r="H922" s="58">
        <v>4717744000</v>
      </c>
      <c r="I922" s="58">
        <v>3668300000</v>
      </c>
      <c r="J922" s="58">
        <v>8386044000</v>
      </c>
      <c r="K922" s="58"/>
      <c r="L922" s="58">
        <v>536357000</v>
      </c>
      <c r="M922" s="58">
        <v>6792000000</v>
      </c>
      <c r="N922" s="58">
        <v>7328357000</v>
      </c>
      <c r="O922" s="58">
        <v>2321525000</v>
      </c>
      <c r="P922" s="58">
        <v>0</v>
      </c>
      <c r="Q922" s="58">
        <v>2321525000</v>
      </c>
      <c r="R922" s="58">
        <v>760301000</v>
      </c>
      <c r="S922" s="58">
        <v>0</v>
      </c>
      <c r="T922" s="58">
        <v>760301000</v>
      </c>
      <c r="U922" s="58">
        <v>247384000</v>
      </c>
      <c r="V922" s="58">
        <v>0</v>
      </c>
      <c r="W922" s="58">
        <v>247384000</v>
      </c>
      <c r="X922" s="58">
        <v>375081000</v>
      </c>
      <c r="Y922" s="58">
        <v>0</v>
      </c>
      <c r="Z922" s="58">
        <v>375081000</v>
      </c>
      <c r="AA922" s="58">
        <v>26590000</v>
      </c>
      <c r="AB922" s="58">
        <v>0</v>
      </c>
      <c r="AC922" s="58">
        <v>26590000</v>
      </c>
      <c r="AD922" s="58">
        <v>468000000</v>
      </c>
      <c r="AE922" s="58">
        <v>0</v>
      </c>
      <c r="AF922" s="58">
        <v>468000000</v>
      </c>
      <c r="AG922" s="122"/>
      <c r="AH922" s="122"/>
      <c r="AI922" s="122"/>
      <c r="AJ922" s="121">
        <v>2903776</v>
      </c>
      <c r="AK922" s="66">
        <v>203610</v>
      </c>
      <c r="AL922" s="54">
        <v>44929</v>
      </c>
      <c r="AM922" s="116">
        <v>536</v>
      </c>
      <c r="AN922" s="42">
        <v>17197200</v>
      </c>
      <c r="AO922" s="125">
        <v>1447200</v>
      </c>
      <c r="AP922" s="59"/>
      <c r="AQ922" s="102">
        <v>26080942414046</v>
      </c>
      <c r="AR922" s="102">
        <v>94200190000</v>
      </c>
      <c r="AS922" s="102">
        <v>31597782000</v>
      </c>
      <c r="AT922" s="102">
        <v>65416411000</v>
      </c>
      <c r="AU922" s="55">
        <f t="shared" si="762"/>
        <v>30882816</v>
      </c>
      <c r="AV922" s="99">
        <f t="shared" si="763"/>
        <v>26328049829.595997</v>
      </c>
    </row>
    <row r="923" spans="1:48" ht="15">
      <c r="A923" s="28">
        <v>45026</v>
      </c>
      <c r="B923" s="56">
        <v>61652205000</v>
      </c>
      <c r="C923" s="56">
        <v>0</v>
      </c>
      <c r="D923" s="56">
        <v>0</v>
      </c>
      <c r="E923" s="56">
        <v>0</v>
      </c>
      <c r="F923" s="65">
        <v>61652205000</v>
      </c>
      <c r="G923" s="65">
        <v>16646095</v>
      </c>
      <c r="H923" s="58">
        <v>9149997000</v>
      </c>
      <c r="I923" s="58">
        <v>5551600000</v>
      </c>
      <c r="J923" s="58">
        <v>14701597000</v>
      </c>
      <c r="K923" s="58"/>
      <c r="L923" s="58">
        <v>6290359000</v>
      </c>
      <c r="M923" s="58">
        <v>11471000000</v>
      </c>
      <c r="N923" s="58">
        <v>17761359000</v>
      </c>
      <c r="O923" s="58">
        <v>1086956000</v>
      </c>
      <c r="P923" s="58">
        <v>0</v>
      </c>
      <c r="Q923" s="58">
        <v>1086956000</v>
      </c>
      <c r="R923" s="58">
        <v>901060000</v>
      </c>
      <c r="S923" s="58">
        <v>0</v>
      </c>
      <c r="T923" s="58">
        <v>901060000</v>
      </c>
      <c r="U923" s="58">
        <v>100741000</v>
      </c>
      <c r="V923" s="58">
        <v>0</v>
      </c>
      <c r="W923" s="58">
        <v>100741000</v>
      </c>
      <c r="X923" s="58">
        <v>352000000</v>
      </c>
      <c r="Y923" s="58">
        <v>0</v>
      </c>
      <c r="Z923" s="58">
        <v>352000000</v>
      </c>
      <c r="AA923" s="58">
        <v>8415000</v>
      </c>
      <c r="AB923" s="58">
        <v>0</v>
      </c>
      <c r="AC923" s="58">
        <v>8415000</v>
      </c>
      <c r="AD923" s="58">
        <v>473445000</v>
      </c>
      <c r="AE923" s="58">
        <v>0</v>
      </c>
      <c r="AF923" s="58">
        <v>473445000</v>
      </c>
      <c r="AG923" s="122"/>
      <c r="AH923" s="122"/>
      <c r="AI923" s="122"/>
      <c r="AJ923" s="121">
        <v>5047269</v>
      </c>
      <c r="AK923" s="66">
        <v>485790</v>
      </c>
      <c r="AL923" s="54">
        <v>44930</v>
      </c>
      <c r="AM923" s="116">
        <v>643</v>
      </c>
      <c r="AN923" s="42">
        <v>5581950</v>
      </c>
      <c r="AO923" s="125">
        <v>1736100</v>
      </c>
      <c r="AP923" s="59"/>
      <c r="AQ923" s="102">
        <v>35620303595252</v>
      </c>
      <c r="AR923" s="102">
        <v>82776192000</v>
      </c>
      <c r="AS923" s="102">
        <v>56081993000</v>
      </c>
      <c r="AT923" s="102">
        <v>117734198000</v>
      </c>
      <c r="AU923" s="55">
        <f t="shared" si="762"/>
        <v>29497204</v>
      </c>
      <c r="AV923" s="99">
        <f t="shared" si="763"/>
        <v>26357547033.595997</v>
      </c>
    </row>
    <row r="924" spans="1:48" ht="15">
      <c r="A924" s="28">
        <v>45027</v>
      </c>
      <c r="B924" s="56">
        <v>57861610000</v>
      </c>
      <c r="C924" s="56">
        <v>0</v>
      </c>
      <c r="D924" s="56">
        <v>0</v>
      </c>
      <c r="E924" s="56">
        <v>0</v>
      </c>
      <c r="F924" s="65">
        <v>57861610000</v>
      </c>
      <c r="G924" s="65">
        <v>15622635</v>
      </c>
      <c r="H924" s="58">
        <v>1666393000</v>
      </c>
      <c r="I924" s="58">
        <v>0</v>
      </c>
      <c r="J924" s="58">
        <v>1666393000</v>
      </c>
      <c r="K924" s="58"/>
      <c r="L924" s="58">
        <v>34118965000</v>
      </c>
      <c r="M924" s="58">
        <v>6859000000</v>
      </c>
      <c r="N924" s="58">
        <v>40977965000</v>
      </c>
      <c r="O924" s="58">
        <v>21084000</v>
      </c>
      <c r="P924" s="58">
        <v>0</v>
      </c>
      <c r="Q924" s="58">
        <v>21084000</v>
      </c>
      <c r="R924" s="58">
        <v>787685000</v>
      </c>
      <c r="S924" s="58">
        <v>0</v>
      </c>
      <c r="T924" s="58">
        <v>787685000</v>
      </c>
      <c r="U924" s="58">
        <v>61076000</v>
      </c>
      <c r="V924" s="58">
        <v>0</v>
      </c>
      <c r="W924" s="58">
        <v>61076000</v>
      </c>
      <c r="X924" s="58">
        <v>377631000</v>
      </c>
      <c r="Y924" s="58">
        <v>0</v>
      </c>
      <c r="Z924" s="58">
        <v>377631000</v>
      </c>
      <c r="AA924" s="58">
        <v>6684000</v>
      </c>
      <c r="AB924" s="58">
        <v>0</v>
      </c>
      <c r="AC924" s="58">
        <v>6684000</v>
      </c>
      <c r="AD924" s="58">
        <v>468500000</v>
      </c>
      <c r="AE924" s="58">
        <v>0</v>
      </c>
      <c r="AF924" s="58">
        <v>468500000</v>
      </c>
      <c r="AG924" s="122"/>
      <c r="AH924" s="122"/>
      <c r="AI924" s="122"/>
      <c r="AJ924" s="121">
        <v>5285486</v>
      </c>
      <c r="AK924" s="66">
        <v>294300</v>
      </c>
      <c r="AL924" s="54">
        <v>44931</v>
      </c>
      <c r="AM924" s="116">
        <v>1065</v>
      </c>
      <c r="AN924" s="42">
        <v>6895200</v>
      </c>
      <c r="AO924" s="125">
        <v>2875500</v>
      </c>
      <c r="AP924" s="59"/>
      <c r="AQ924" s="102">
        <v>27812756709254</v>
      </c>
      <c r="AR924" s="102">
        <v>153358550000</v>
      </c>
      <c r="AS924" s="102">
        <v>53842491000</v>
      </c>
      <c r="AT924" s="102">
        <v>111704101000</v>
      </c>
      <c r="AU924" s="55">
        <f t="shared" si="762"/>
        <v>30973121</v>
      </c>
      <c r="AV924" s="99">
        <f t="shared" si="763"/>
        <v>26388520154.595997</v>
      </c>
    </row>
    <row r="925" spans="1:48" ht="15">
      <c r="A925" s="28">
        <v>45028</v>
      </c>
      <c r="B925" s="56">
        <v>69958109000</v>
      </c>
      <c r="C925" s="56">
        <v>0</v>
      </c>
      <c r="D925" s="56">
        <v>0</v>
      </c>
      <c r="E925" s="56">
        <v>0</v>
      </c>
      <c r="F925" s="65">
        <v>69958109000</v>
      </c>
      <c r="G925" s="65">
        <v>18888689</v>
      </c>
      <c r="H925" s="58">
        <v>11059236000</v>
      </c>
      <c r="I925" s="58">
        <v>1843800000</v>
      </c>
      <c r="J925" s="58">
        <v>12903036000</v>
      </c>
      <c r="K925" s="58"/>
      <c r="L925" s="58">
        <v>23945167000</v>
      </c>
      <c r="M925" s="58">
        <v>2306500000</v>
      </c>
      <c r="N925" s="58">
        <v>26251667000</v>
      </c>
      <c r="O925" s="58">
        <v>364922000</v>
      </c>
      <c r="P925" s="58">
        <v>0</v>
      </c>
      <c r="Q925" s="58">
        <v>364922000</v>
      </c>
      <c r="R925" s="58">
        <v>614354000</v>
      </c>
      <c r="S925" s="58">
        <v>0</v>
      </c>
      <c r="T925" s="58">
        <v>614354000</v>
      </c>
      <c r="U925" s="58">
        <v>96069000</v>
      </c>
      <c r="V925" s="58">
        <v>0</v>
      </c>
      <c r="W925" s="58">
        <v>96069000</v>
      </c>
      <c r="X925" s="58">
        <v>384693000</v>
      </c>
      <c r="Y925" s="58">
        <v>0</v>
      </c>
      <c r="Z925" s="58">
        <v>384693000</v>
      </c>
      <c r="AA925" s="58">
        <v>52979000</v>
      </c>
      <c r="AB925" s="58">
        <v>0</v>
      </c>
      <c r="AC925" s="58">
        <v>52979000</v>
      </c>
      <c r="AD925" s="58">
        <v>487970000</v>
      </c>
      <c r="AE925" s="58">
        <v>0</v>
      </c>
      <c r="AF925" s="58">
        <v>487970000</v>
      </c>
      <c r="AG925" s="122"/>
      <c r="AH925" s="122"/>
      <c r="AI925" s="122"/>
      <c r="AJ925" s="121">
        <v>4743636</v>
      </c>
      <c r="AK925" s="66">
        <v>1044540</v>
      </c>
      <c r="AL925" s="54">
        <v>44932</v>
      </c>
      <c r="AM925" s="116">
        <v>1090</v>
      </c>
      <c r="AN925" s="42">
        <v>4635900</v>
      </c>
      <c r="AO925" s="125">
        <v>2943000</v>
      </c>
      <c r="AP925" s="59"/>
      <c r="AQ925" s="102">
        <v>32730570511656</v>
      </c>
      <c r="AR925" s="102">
        <v>211278194000</v>
      </c>
      <c r="AS925" s="102">
        <v>49763795000</v>
      </c>
      <c r="AT925" s="102">
        <v>119721904000</v>
      </c>
      <c r="AU925" s="55">
        <f t="shared" si="762"/>
        <v>32255765</v>
      </c>
      <c r="AV925" s="99">
        <f t="shared" si="763"/>
        <v>26420775919.595997</v>
      </c>
    </row>
    <row r="926" spans="1:48" ht="15">
      <c r="A926" s="28">
        <v>45029</v>
      </c>
      <c r="B926" s="56">
        <v>58629291999.360008</v>
      </c>
      <c r="C926" s="56">
        <v>0</v>
      </c>
      <c r="D926" s="56">
        <v>0</v>
      </c>
      <c r="E926" s="56">
        <v>0</v>
      </c>
      <c r="F926" s="65">
        <v>58629291999.360008</v>
      </c>
      <c r="G926" s="65">
        <v>15829909</v>
      </c>
      <c r="H926" s="58">
        <v>3107938000</v>
      </c>
      <c r="I926" s="58">
        <v>0</v>
      </c>
      <c r="J926" s="58">
        <v>3107938000</v>
      </c>
      <c r="K926" s="58"/>
      <c r="L926" s="58">
        <v>10399190000</v>
      </c>
      <c r="M926" s="58">
        <v>0</v>
      </c>
      <c r="N926" s="58">
        <v>10399190000</v>
      </c>
      <c r="O926" s="58">
        <v>151981000</v>
      </c>
      <c r="P926" s="58">
        <v>0</v>
      </c>
      <c r="Q926" s="58">
        <v>151981000</v>
      </c>
      <c r="R926" s="58">
        <v>797572000</v>
      </c>
      <c r="S926" s="58">
        <v>0</v>
      </c>
      <c r="T926" s="58">
        <v>797572000</v>
      </c>
      <c r="U926" s="58">
        <v>158671000</v>
      </c>
      <c r="V926" s="58">
        <v>0</v>
      </c>
      <c r="W926" s="58">
        <v>158671000</v>
      </c>
      <c r="X926" s="58">
        <v>386999000</v>
      </c>
      <c r="Y926" s="58">
        <v>0</v>
      </c>
      <c r="Z926" s="58">
        <v>386999000</v>
      </c>
      <c r="AA926" s="58">
        <v>847000</v>
      </c>
      <c r="AB926" s="58">
        <v>0</v>
      </c>
      <c r="AC926" s="58">
        <v>847000</v>
      </c>
      <c r="AD926" s="58">
        <v>471500000</v>
      </c>
      <c r="AE926" s="58">
        <v>0</v>
      </c>
      <c r="AF926" s="58">
        <v>471500000</v>
      </c>
      <c r="AG926" s="122"/>
      <c r="AH926" s="122"/>
      <c r="AI926" s="122"/>
      <c r="AJ926" s="121">
        <v>1671267</v>
      </c>
      <c r="AK926" s="66">
        <v>532740</v>
      </c>
      <c r="AL926" s="54">
        <v>44933</v>
      </c>
      <c r="AM926" s="116">
        <v>957</v>
      </c>
      <c r="AN926" s="42">
        <v>3990750</v>
      </c>
      <c r="AO926" s="125">
        <v>2583900</v>
      </c>
      <c r="AP926" s="59"/>
      <c r="AQ926" s="102">
        <v>26901014292058</v>
      </c>
      <c r="AR926" s="102">
        <v>59016958000</v>
      </c>
      <c r="AS926" s="102">
        <v>16704198000</v>
      </c>
      <c r="AT926" s="102">
        <v>75333489999.360016</v>
      </c>
      <c r="AU926" s="55">
        <f t="shared" si="762"/>
        <v>24608566</v>
      </c>
      <c r="AV926" s="99">
        <f t="shared" si="763"/>
        <v>26445384485.595997</v>
      </c>
    </row>
    <row r="927" spans="1:48" ht="15">
      <c r="A927" s="95">
        <v>45030</v>
      </c>
      <c r="B927" s="82">
        <v>52738635000.139999</v>
      </c>
      <c r="C927" s="82">
        <v>0</v>
      </c>
      <c r="D927" s="82">
        <v>0</v>
      </c>
      <c r="E927" s="82">
        <v>0</v>
      </c>
      <c r="F927" s="83">
        <v>52738635000.139999</v>
      </c>
      <c r="G927" s="83">
        <v>14239431</v>
      </c>
      <c r="H927" s="84">
        <v>6463818000</v>
      </c>
      <c r="I927" s="84">
        <v>0</v>
      </c>
      <c r="J927" s="84">
        <v>6463818000</v>
      </c>
      <c r="K927" s="84"/>
      <c r="L927" s="84">
        <v>3076504000</v>
      </c>
      <c r="M927" s="84">
        <v>0</v>
      </c>
      <c r="N927" s="84">
        <v>3076504000</v>
      </c>
      <c r="O927" s="84">
        <v>431780000</v>
      </c>
      <c r="P927" s="84">
        <v>0</v>
      </c>
      <c r="Q927" s="84">
        <v>431780000</v>
      </c>
      <c r="R927" s="84">
        <v>713351000</v>
      </c>
      <c r="S927" s="84">
        <v>0</v>
      </c>
      <c r="T927" s="84">
        <v>713351000</v>
      </c>
      <c r="U927" s="84">
        <v>14621000</v>
      </c>
      <c r="V927" s="84">
        <v>0</v>
      </c>
      <c r="W927" s="84">
        <v>14621000</v>
      </c>
      <c r="X927" s="84">
        <v>387102000</v>
      </c>
      <c r="Y927" s="84">
        <v>0</v>
      </c>
      <c r="Z927" s="84">
        <v>387102000</v>
      </c>
      <c r="AA927" s="84">
        <v>22756000</v>
      </c>
      <c r="AB927" s="84">
        <v>0</v>
      </c>
      <c r="AC927" s="84">
        <v>22756000</v>
      </c>
      <c r="AD927" s="84">
        <v>480295000</v>
      </c>
      <c r="AE927" s="84">
        <v>0</v>
      </c>
      <c r="AF927" s="84">
        <v>480295000</v>
      </c>
      <c r="AG927" s="153"/>
      <c r="AH927" s="153"/>
      <c r="AI927" s="153"/>
      <c r="AJ927" s="85">
        <v>1251745</v>
      </c>
      <c r="AK927" s="86">
        <v>0</v>
      </c>
      <c r="AL927" s="154">
        <v>44929</v>
      </c>
      <c r="AM927" s="87">
        <v>946</v>
      </c>
      <c r="AN927" s="88">
        <v>10197450</v>
      </c>
      <c r="AO927" s="89">
        <v>2554200</v>
      </c>
      <c r="AP927" s="90"/>
      <c r="AQ927" s="91">
        <v>30769465291660</v>
      </c>
      <c r="AR927" s="91">
        <v>39075336000</v>
      </c>
      <c r="AS927" s="91">
        <v>12817527000</v>
      </c>
      <c r="AT927" s="91">
        <v>65556162000.139999</v>
      </c>
      <c r="AU927" s="55">
        <f t="shared" si="762"/>
        <v>28242826</v>
      </c>
      <c r="AV927" s="99">
        <f t="shared" si="763"/>
        <v>26473627311.595997</v>
      </c>
    </row>
    <row r="928" spans="1:48" ht="15">
      <c r="A928" s="95">
        <v>45033</v>
      </c>
      <c r="B928" s="82">
        <v>96806090000</v>
      </c>
      <c r="C928" s="82">
        <v>0</v>
      </c>
      <c r="D928" s="82">
        <v>0</v>
      </c>
      <c r="E928" s="82">
        <v>0</v>
      </c>
      <c r="F928" s="83">
        <v>96806090000</v>
      </c>
      <c r="G928" s="83">
        <v>26137644</v>
      </c>
      <c r="H928" s="84">
        <v>207108000</v>
      </c>
      <c r="I928" s="84">
        <v>5434600000</v>
      </c>
      <c r="J928" s="84">
        <v>5641708000</v>
      </c>
      <c r="K928" s="84"/>
      <c r="L928" s="84">
        <v>5666917000</v>
      </c>
      <c r="M928" s="84">
        <v>6789000000</v>
      </c>
      <c r="N928" s="84">
        <v>12455917000</v>
      </c>
      <c r="O928" s="84">
        <v>280768000</v>
      </c>
      <c r="P928" s="84">
        <v>0</v>
      </c>
      <c r="Q928" s="84">
        <v>280768000</v>
      </c>
      <c r="R928" s="84">
        <v>702244000</v>
      </c>
      <c r="S928" s="84">
        <v>0</v>
      </c>
      <c r="T928" s="84">
        <v>702244000</v>
      </c>
      <c r="U928" s="84">
        <v>58833000</v>
      </c>
      <c r="V928" s="84">
        <v>0</v>
      </c>
      <c r="W928" s="84">
        <v>58833000</v>
      </c>
      <c r="X928" s="84">
        <v>352133000</v>
      </c>
      <c r="Y928" s="84">
        <v>0</v>
      </c>
      <c r="Z928" s="84">
        <v>352133000</v>
      </c>
      <c r="AA928" s="84">
        <v>852000</v>
      </c>
      <c r="AB928" s="84">
        <v>0</v>
      </c>
      <c r="AC928" s="84">
        <v>852000</v>
      </c>
      <c r="AD928" s="84">
        <v>477520000</v>
      </c>
      <c r="AE928" s="84">
        <v>0</v>
      </c>
      <c r="AF928" s="84">
        <v>477520000</v>
      </c>
      <c r="AG928" s="153"/>
      <c r="AH928" s="153"/>
      <c r="AI928" s="153"/>
      <c r="AJ928" s="85">
        <v>3036857</v>
      </c>
      <c r="AK928" s="86">
        <v>0</v>
      </c>
      <c r="AL928" s="154">
        <v>44930</v>
      </c>
      <c r="AM928" s="87">
        <v>1281</v>
      </c>
      <c r="AN928" s="88">
        <v>5196900</v>
      </c>
      <c r="AO928" s="89">
        <v>3458700</v>
      </c>
      <c r="AP928" s="90"/>
      <c r="AQ928" s="91">
        <v>18433457443866</v>
      </c>
      <c r="AR928" s="91">
        <v>37206112000</v>
      </c>
      <c r="AS928" s="91">
        <v>33420075000</v>
      </c>
      <c r="AT928" s="91">
        <v>130226165000</v>
      </c>
      <c r="AU928" s="55">
        <f t="shared" si="762"/>
        <v>37830101</v>
      </c>
      <c r="AV928" s="99">
        <f t="shared" si="763"/>
        <v>26511457412.595997</v>
      </c>
    </row>
    <row r="929" spans="1:48" ht="15">
      <c r="A929" s="95">
        <v>45034</v>
      </c>
      <c r="B929" s="82">
        <v>82502855000</v>
      </c>
      <c r="C929" s="82">
        <v>0</v>
      </c>
      <c r="D929" s="82">
        <v>0</v>
      </c>
      <c r="E929" s="82">
        <v>0</v>
      </c>
      <c r="F929" s="83">
        <v>82502855000</v>
      </c>
      <c r="G929" s="83">
        <v>22275771</v>
      </c>
      <c r="H929" s="84">
        <v>544052000</v>
      </c>
      <c r="I929" s="84">
        <v>3629500000</v>
      </c>
      <c r="J929" s="84">
        <v>4173552000</v>
      </c>
      <c r="K929" s="84"/>
      <c r="L929" s="84">
        <v>2453980000</v>
      </c>
      <c r="M929" s="84">
        <v>9070500000</v>
      </c>
      <c r="N929" s="84">
        <v>11524480000</v>
      </c>
      <c r="O929" s="84">
        <v>49855000</v>
      </c>
      <c r="P929" s="84">
        <v>0</v>
      </c>
      <c r="Q929" s="84">
        <v>49855000</v>
      </c>
      <c r="R929" s="84">
        <v>779792000</v>
      </c>
      <c r="S929" s="84">
        <v>0</v>
      </c>
      <c r="T929" s="84">
        <v>779792000</v>
      </c>
      <c r="U929" s="84">
        <v>7862000</v>
      </c>
      <c r="V929" s="84">
        <v>0</v>
      </c>
      <c r="W929" s="84">
        <v>7862000</v>
      </c>
      <c r="X929" s="84">
        <v>358528000</v>
      </c>
      <c r="Y929" s="84">
        <v>0</v>
      </c>
      <c r="Z929" s="84">
        <v>358528000</v>
      </c>
      <c r="AA929" s="84">
        <v>19189000</v>
      </c>
      <c r="AB929" s="84">
        <v>0</v>
      </c>
      <c r="AC929" s="84">
        <v>19189000</v>
      </c>
      <c r="AD929" s="84">
        <v>465000000</v>
      </c>
      <c r="AE929" s="84">
        <v>0</v>
      </c>
      <c r="AF929" s="84">
        <v>465000000</v>
      </c>
      <c r="AG929" s="153"/>
      <c r="AH929" s="153"/>
      <c r="AI929" s="153"/>
      <c r="AJ929" s="85">
        <v>2791252</v>
      </c>
      <c r="AK929" s="86">
        <v>0</v>
      </c>
      <c r="AL929" s="154">
        <v>44931</v>
      </c>
      <c r="AM929" s="87">
        <v>1382</v>
      </c>
      <c r="AN929" s="88">
        <v>7119600</v>
      </c>
      <c r="AO929" s="89">
        <v>3731400</v>
      </c>
      <c r="AP929" s="90"/>
      <c r="AQ929" s="91">
        <v>22784985014068</v>
      </c>
      <c r="AR929" s="91">
        <v>50221982000</v>
      </c>
      <c r="AS929" s="91">
        <v>31296358000</v>
      </c>
      <c r="AT929" s="91">
        <v>113799213000</v>
      </c>
      <c r="AU929" s="55">
        <f t="shared" si="762"/>
        <v>35918023</v>
      </c>
      <c r="AV929" s="99">
        <f t="shared" si="763"/>
        <v>26547375435.595997</v>
      </c>
    </row>
    <row r="930" spans="1:48" ht="15">
      <c r="A930" s="95">
        <v>45035</v>
      </c>
      <c r="B930" s="82">
        <v>49874090000</v>
      </c>
      <c r="C930" s="82">
        <v>0</v>
      </c>
      <c r="D930" s="82">
        <v>0</v>
      </c>
      <c r="E930" s="82">
        <v>0</v>
      </c>
      <c r="F930" s="83">
        <v>49874090000</v>
      </c>
      <c r="G930" s="83">
        <v>13466004</v>
      </c>
      <c r="H930" s="84">
        <v>1831934000</v>
      </c>
      <c r="I930" s="84">
        <v>1815500000</v>
      </c>
      <c r="J930" s="84">
        <v>3647434000</v>
      </c>
      <c r="K930" s="84"/>
      <c r="L930" s="84">
        <v>21105232000</v>
      </c>
      <c r="M930" s="84">
        <v>0</v>
      </c>
      <c r="N930" s="84">
        <v>21105232000</v>
      </c>
      <c r="O930" s="84">
        <v>239284000</v>
      </c>
      <c r="P930" s="84">
        <v>0</v>
      </c>
      <c r="Q930" s="84">
        <v>239284000</v>
      </c>
      <c r="R930" s="84">
        <v>994428000</v>
      </c>
      <c r="S930" s="84">
        <v>0</v>
      </c>
      <c r="T930" s="84">
        <v>994428000</v>
      </c>
      <c r="U930" s="84">
        <v>13118000</v>
      </c>
      <c r="V930" s="84">
        <v>0</v>
      </c>
      <c r="W930" s="84">
        <v>13118000</v>
      </c>
      <c r="X930" s="84">
        <v>346500000</v>
      </c>
      <c r="Y930" s="84">
        <v>0</v>
      </c>
      <c r="Z930" s="84">
        <v>346500000</v>
      </c>
      <c r="AA930" s="84">
        <v>14125000</v>
      </c>
      <c r="AB930" s="84">
        <v>0</v>
      </c>
      <c r="AC930" s="84">
        <v>14125000</v>
      </c>
      <c r="AD930" s="84">
        <v>472852000</v>
      </c>
      <c r="AE930" s="84">
        <v>0</v>
      </c>
      <c r="AF930" s="84">
        <v>472852000</v>
      </c>
      <c r="AG930" s="153"/>
      <c r="AH930" s="153"/>
      <c r="AI930" s="153"/>
      <c r="AJ930" s="85">
        <v>3028677</v>
      </c>
      <c r="AK930" s="86">
        <v>0</v>
      </c>
      <c r="AL930" s="154">
        <v>44932</v>
      </c>
      <c r="AM930" s="87">
        <v>906</v>
      </c>
      <c r="AN930" s="88">
        <v>9424800</v>
      </c>
      <c r="AO930" s="89">
        <v>2446200</v>
      </c>
      <c r="AP930" s="90"/>
      <c r="AQ930" s="91">
        <v>22033406890070</v>
      </c>
      <c r="AR930" s="91">
        <v>87347172000</v>
      </c>
      <c r="AS930" s="91">
        <v>29865373000</v>
      </c>
      <c r="AT930" s="91">
        <v>79739463000</v>
      </c>
      <c r="AU930" s="55">
        <f t="shared" si="762"/>
        <v>28365681</v>
      </c>
      <c r="AV930" s="99">
        <f t="shared" si="763"/>
        <v>26575741116.595997</v>
      </c>
    </row>
    <row r="931" spans="1:48" ht="15">
      <c r="A931" s="95">
        <v>45036</v>
      </c>
      <c r="B931" s="82">
        <v>96817610000</v>
      </c>
      <c r="C931" s="82">
        <v>0</v>
      </c>
      <c r="D931" s="82">
        <v>0</v>
      </c>
      <c r="E931" s="82">
        <v>0</v>
      </c>
      <c r="F931" s="83">
        <v>96817610000</v>
      </c>
      <c r="G931" s="83">
        <v>26140755</v>
      </c>
      <c r="H931" s="84">
        <v>1472373000</v>
      </c>
      <c r="I931" s="84">
        <v>0</v>
      </c>
      <c r="J931" s="84">
        <v>1472373000</v>
      </c>
      <c r="K931" s="84"/>
      <c r="L931" s="84">
        <v>967854000</v>
      </c>
      <c r="M931" s="84">
        <v>0</v>
      </c>
      <c r="N931" s="84">
        <v>967854000</v>
      </c>
      <c r="O931" s="84">
        <v>285453000</v>
      </c>
      <c r="P931" s="84">
        <v>0</v>
      </c>
      <c r="Q931" s="84">
        <v>285453000</v>
      </c>
      <c r="R931" s="84">
        <v>668886000</v>
      </c>
      <c r="S931" s="84">
        <v>0</v>
      </c>
      <c r="T931" s="84">
        <v>668886000</v>
      </c>
      <c r="U931" s="84">
        <v>33945000</v>
      </c>
      <c r="V931" s="84">
        <v>0</v>
      </c>
      <c r="W931" s="84">
        <v>33945000</v>
      </c>
      <c r="X931" s="84">
        <v>342500000</v>
      </c>
      <c r="Y931" s="84">
        <v>0</v>
      </c>
      <c r="Z931" s="84">
        <v>342500000</v>
      </c>
      <c r="AA931" s="84">
        <v>33232000</v>
      </c>
      <c r="AB931" s="84">
        <v>0</v>
      </c>
      <c r="AC931" s="84">
        <v>33232000</v>
      </c>
      <c r="AD931" s="84">
        <v>459920000</v>
      </c>
      <c r="AE931" s="84">
        <v>0</v>
      </c>
      <c r="AF931" s="84">
        <v>459920000</v>
      </c>
      <c r="AG931" s="153"/>
      <c r="AH931" s="153"/>
      <c r="AI931" s="153"/>
      <c r="AJ931" s="85">
        <v>460530</v>
      </c>
      <c r="AK931" s="86">
        <v>0</v>
      </c>
      <c r="AL931" s="154">
        <v>44933</v>
      </c>
      <c r="AM931" s="87">
        <v>1787</v>
      </c>
      <c r="AN931" s="88">
        <v>8810250</v>
      </c>
      <c r="AO931" s="89">
        <v>4824900</v>
      </c>
      <c r="AP931" s="90"/>
      <c r="AQ931" s="91">
        <v>16195942052072</v>
      </c>
      <c r="AR931" s="91">
        <v>38352066000</v>
      </c>
      <c r="AS931" s="91">
        <v>5492113000</v>
      </c>
      <c r="AT931" s="91">
        <v>102309723000</v>
      </c>
      <c r="AU931" s="55">
        <f t="shared" si="762"/>
        <v>40236435</v>
      </c>
      <c r="AV931" s="99">
        <f t="shared" si="763"/>
        <v>26615977551.595997</v>
      </c>
    </row>
    <row r="932" spans="1:48">
      <c r="A932" s="92">
        <v>45037</v>
      </c>
      <c r="B932" s="55">
        <v>37459720000.099991</v>
      </c>
      <c r="C932" s="55">
        <v>0</v>
      </c>
      <c r="D932" s="55">
        <v>0</v>
      </c>
      <c r="E932" s="55">
        <v>0</v>
      </c>
      <c r="F932" s="55">
        <v>37459720000.099991</v>
      </c>
      <c r="G932" s="55">
        <v>10114124</v>
      </c>
      <c r="H932" s="55">
        <v>4150174000</v>
      </c>
      <c r="I932" s="55">
        <v>0</v>
      </c>
      <c r="J932" s="55">
        <v>4150174000</v>
      </c>
      <c r="L932" s="55">
        <v>8250631000</v>
      </c>
      <c r="M932" s="55">
        <v>2230500000</v>
      </c>
      <c r="N932" s="55">
        <v>10481131000</v>
      </c>
      <c r="O932" s="55">
        <v>63076000</v>
      </c>
      <c r="P932" s="55">
        <v>0</v>
      </c>
      <c r="Q932" s="55">
        <v>63076000</v>
      </c>
      <c r="R932" s="55">
        <v>1004174000</v>
      </c>
      <c r="S932" s="55">
        <v>0</v>
      </c>
      <c r="T932" s="55">
        <v>1004174000</v>
      </c>
      <c r="U932" s="55">
        <v>30844000</v>
      </c>
      <c r="V932" s="55">
        <v>0</v>
      </c>
      <c r="W932" s="55">
        <v>30844000</v>
      </c>
      <c r="X932" s="55">
        <v>343551000</v>
      </c>
      <c r="Y932" s="55">
        <v>0</v>
      </c>
      <c r="Z932" s="55">
        <v>343551000</v>
      </c>
      <c r="AA932" s="55">
        <v>224063000</v>
      </c>
      <c r="AB932" s="55">
        <v>0</v>
      </c>
      <c r="AC932" s="55">
        <v>224063000</v>
      </c>
      <c r="AD932" s="55">
        <v>466180000</v>
      </c>
      <c r="AE932" s="55">
        <v>0</v>
      </c>
      <c r="AF932" s="55">
        <v>466180000</v>
      </c>
      <c r="AJ932" s="55">
        <v>1971021</v>
      </c>
      <c r="AK932" s="55">
        <v>0</v>
      </c>
      <c r="AL932" s="55">
        <v>44929</v>
      </c>
      <c r="AM932" s="55">
        <v>514</v>
      </c>
      <c r="AN932" s="55">
        <v>24059250</v>
      </c>
      <c r="AO932" s="55">
        <v>1387800</v>
      </c>
      <c r="AQ932" s="55">
        <v>24219610332274</v>
      </c>
      <c r="AR932" s="55">
        <v>77439974000</v>
      </c>
      <c r="AS932" s="55">
        <v>20192093000</v>
      </c>
      <c r="AT932" s="55">
        <v>57651813000.099991</v>
      </c>
      <c r="AU932" s="55">
        <f t="shared" si="762"/>
        <v>37532195</v>
      </c>
      <c r="AV932" s="99">
        <f t="shared" si="763"/>
        <v>26653509746.595997</v>
      </c>
    </row>
    <row r="933" spans="1:48">
      <c r="A933" s="92">
        <v>45040</v>
      </c>
      <c r="B933" s="55">
        <v>96736320000</v>
      </c>
      <c r="C933" s="55">
        <v>0</v>
      </c>
      <c r="D933" s="55">
        <v>0</v>
      </c>
      <c r="E933" s="55">
        <v>0</v>
      </c>
      <c r="F933" s="55">
        <v>96736320000</v>
      </c>
      <c r="G933" s="55">
        <v>26118806</v>
      </c>
      <c r="H933" s="55">
        <v>4817850000</v>
      </c>
      <c r="I933" s="55">
        <v>88991300000</v>
      </c>
      <c r="J933" s="55">
        <v>93809150000</v>
      </c>
      <c r="L933" s="55">
        <v>8303567000</v>
      </c>
      <c r="M933" s="55">
        <v>99963500000</v>
      </c>
      <c r="N933" s="55">
        <v>108267067000</v>
      </c>
      <c r="O933" s="55">
        <v>160259000</v>
      </c>
      <c r="P933" s="55">
        <v>0</v>
      </c>
      <c r="Q933" s="55">
        <v>160259000</v>
      </c>
      <c r="R933" s="55">
        <v>1085726000</v>
      </c>
      <c r="S933" s="55">
        <v>0</v>
      </c>
      <c r="T933" s="55">
        <v>1085726000</v>
      </c>
      <c r="U933" s="55">
        <v>96649000</v>
      </c>
      <c r="V933" s="55">
        <v>0</v>
      </c>
      <c r="W933" s="55">
        <v>96649000</v>
      </c>
      <c r="X933" s="55">
        <v>340000000</v>
      </c>
      <c r="Y933" s="55">
        <v>1364000000</v>
      </c>
      <c r="Z933" s="55">
        <v>1704000000</v>
      </c>
      <c r="AA933" s="55">
        <v>4920000</v>
      </c>
      <c r="AB933" s="55">
        <v>0</v>
      </c>
      <c r="AC933" s="55">
        <v>4920000</v>
      </c>
      <c r="AD933" s="55">
        <v>476287000</v>
      </c>
      <c r="AE933" s="55">
        <v>0</v>
      </c>
      <c r="AF933" s="55">
        <v>476287000</v>
      </c>
      <c r="AJ933" s="55">
        <v>35908192</v>
      </c>
      <c r="AK933" s="55">
        <v>0</v>
      </c>
      <c r="AL933" s="55">
        <v>44930</v>
      </c>
      <c r="AM933" s="55">
        <v>2114</v>
      </c>
      <c r="AN933" s="55">
        <v>10773750</v>
      </c>
      <c r="AO933" s="55">
        <v>5707800</v>
      </c>
      <c r="AQ933" s="55">
        <v>21346002752080</v>
      </c>
      <c r="AR933" s="55">
        <v>444210772000</v>
      </c>
      <c r="AS933" s="55">
        <v>397122753000</v>
      </c>
      <c r="AT933" s="55">
        <v>493859073000</v>
      </c>
      <c r="AU933" s="55">
        <f t="shared" si="762"/>
        <v>78508548</v>
      </c>
      <c r="AV933" s="99">
        <f t="shared" si="763"/>
        <v>26732018294.595997</v>
      </c>
    </row>
    <row r="934" spans="1:48">
      <c r="A934" s="92">
        <v>45041</v>
      </c>
      <c r="B934" s="55">
        <v>142039405000</v>
      </c>
      <c r="C934" s="55">
        <v>0</v>
      </c>
      <c r="D934" s="55">
        <v>0</v>
      </c>
      <c r="E934" s="55">
        <v>0</v>
      </c>
      <c r="F934" s="55">
        <v>142039405000</v>
      </c>
      <c r="G934" s="55">
        <v>38350639</v>
      </c>
      <c r="H934" s="55">
        <v>2594713000</v>
      </c>
      <c r="I934" s="55">
        <v>1783300000</v>
      </c>
      <c r="J934" s="55">
        <v>4378013000</v>
      </c>
      <c r="L934" s="55">
        <v>4622932000</v>
      </c>
      <c r="M934" s="55">
        <v>0</v>
      </c>
      <c r="N934" s="55">
        <v>4622932000</v>
      </c>
      <c r="O934" s="55">
        <v>137336000</v>
      </c>
      <c r="P934" s="55">
        <v>0</v>
      </c>
      <c r="Q934" s="55">
        <v>137336000</v>
      </c>
      <c r="R934" s="55">
        <v>681982000</v>
      </c>
      <c r="S934" s="55">
        <v>0</v>
      </c>
      <c r="T934" s="55">
        <v>681982000</v>
      </c>
      <c r="U934" s="55">
        <v>14191000</v>
      </c>
      <c r="V934" s="55">
        <v>0</v>
      </c>
      <c r="W934" s="55">
        <v>14191000</v>
      </c>
      <c r="X934" s="55">
        <v>337000000</v>
      </c>
      <c r="Y934" s="55">
        <v>0</v>
      </c>
      <c r="Z934" s="55">
        <v>337000000</v>
      </c>
      <c r="AA934" s="55">
        <v>12308000</v>
      </c>
      <c r="AB934" s="55">
        <v>0</v>
      </c>
      <c r="AC934" s="55">
        <v>12308000</v>
      </c>
      <c r="AD934" s="55">
        <v>455000000</v>
      </c>
      <c r="AE934" s="55">
        <v>0</v>
      </c>
      <c r="AF934" s="55">
        <v>455000000</v>
      </c>
      <c r="AJ934" s="55">
        <v>1277384</v>
      </c>
      <c r="AK934" s="55">
        <v>0</v>
      </c>
      <c r="AL934" s="55">
        <v>44931</v>
      </c>
      <c r="AM934" s="55">
        <v>1475</v>
      </c>
      <c r="AN934" s="55">
        <v>7216500</v>
      </c>
      <c r="AO934" s="55">
        <v>3982500</v>
      </c>
      <c r="AQ934" s="55">
        <v>23355183068582</v>
      </c>
      <c r="AR934" s="55">
        <v>81542178000</v>
      </c>
      <c r="AS934" s="55">
        <v>13632786160</v>
      </c>
      <c r="AT934" s="55">
        <v>155672191160</v>
      </c>
      <c r="AU934" s="55">
        <f t="shared" si="762"/>
        <v>50827023</v>
      </c>
      <c r="AV934" s="99">
        <f t="shared" si="763"/>
        <v>26782845317.595997</v>
      </c>
    </row>
    <row r="935" spans="1:48">
      <c r="A935" s="92">
        <v>45042</v>
      </c>
      <c r="B935" s="55">
        <v>106948870000</v>
      </c>
      <c r="C935" s="55">
        <v>94273886950</v>
      </c>
      <c r="D935" s="55">
        <v>0</v>
      </c>
      <c r="E935" s="55">
        <v>0</v>
      </c>
      <c r="F935" s="55">
        <v>201222756950</v>
      </c>
      <c r="G935" s="55">
        <v>54330144</v>
      </c>
      <c r="H935" s="55">
        <v>1107451000</v>
      </c>
      <c r="I935" s="55">
        <v>0</v>
      </c>
      <c r="J935" s="55">
        <v>1107451000</v>
      </c>
      <c r="L935" s="55">
        <v>822835000</v>
      </c>
      <c r="M935" s="55">
        <v>4376000000</v>
      </c>
      <c r="N935" s="55">
        <v>5198835000</v>
      </c>
      <c r="O935" s="55">
        <v>3386658000</v>
      </c>
      <c r="P935" s="55">
        <v>0</v>
      </c>
      <c r="Q935" s="55">
        <v>3386658000</v>
      </c>
      <c r="R935" s="55">
        <v>795082000</v>
      </c>
      <c r="S935" s="55">
        <v>0</v>
      </c>
      <c r="T935" s="55">
        <v>795082000</v>
      </c>
      <c r="U935" s="55">
        <v>82908000</v>
      </c>
      <c r="V935" s="55">
        <v>0</v>
      </c>
      <c r="W935" s="55">
        <v>82908000</v>
      </c>
      <c r="X935" s="55">
        <v>545770000</v>
      </c>
      <c r="Y935" s="55">
        <v>0</v>
      </c>
      <c r="Z935" s="55">
        <v>545770000</v>
      </c>
      <c r="AA935" s="55">
        <v>49284000</v>
      </c>
      <c r="AB935" s="55">
        <v>0</v>
      </c>
      <c r="AC935" s="55">
        <v>49284000</v>
      </c>
      <c r="AD935" s="55">
        <v>453616000</v>
      </c>
      <c r="AE935" s="55">
        <v>0</v>
      </c>
      <c r="AF935" s="55">
        <v>453616000</v>
      </c>
      <c r="AJ935" s="55">
        <v>1569989</v>
      </c>
      <c r="AK935" s="55">
        <v>0</v>
      </c>
      <c r="AL935" s="55">
        <v>44932</v>
      </c>
      <c r="AM935" s="55">
        <v>2278</v>
      </c>
      <c r="AN935" s="55">
        <v>4008600</v>
      </c>
      <c r="AO935" s="55">
        <v>6150600</v>
      </c>
      <c r="AQ935" s="55">
        <v>26001075502884</v>
      </c>
      <c r="AR935" s="55">
        <v>46527330000</v>
      </c>
      <c r="AS935" s="55">
        <v>17179103980</v>
      </c>
      <c r="AT935" s="55">
        <v>218401860930</v>
      </c>
      <c r="AU935" s="55">
        <f t="shared" si="762"/>
        <v>66059333</v>
      </c>
      <c r="AV935" s="99">
        <f t="shared" si="763"/>
        <v>26848904650.595997</v>
      </c>
    </row>
    <row r="936" spans="1:48">
      <c r="A936" s="92">
        <v>45043</v>
      </c>
      <c r="B936" s="55">
        <v>61622925000</v>
      </c>
      <c r="C936" s="55">
        <v>0</v>
      </c>
      <c r="D936" s="55">
        <v>0</v>
      </c>
      <c r="E936" s="55">
        <v>0</v>
      </c>
      <c r="F936" s="55">
        <v>61622925000</v>
      </c>
      <c r="G936" s="55">
        <v>16638190</v>
      </c>
      <c r="H936" s="55">
        <v>897041000</v>
      </c>
      <c r="I936" s="55">
        <v>0</v>
      </c>
      <c r="J936" s="55">
        <v>897041000</v>
      </c>
      <c r="L936" s="55">
        <v>435249000</v>
      </c>
      <c r="M936" s="55">
        <v>0</v>
      </c>
      <c r="N936" s="55">
        <v>435249000</v>
      </c>
      <c r="O936" s="55">
        <v>3151200000</v>
      </c>
      <c r="P936" s="55">
        <v>0</v>
      </c>
      <c r="Q936" s="55">
        <v>3151200000</v>
      </c>
      <c r="R936" s="55">
        <v>850678000</v>
      </c>
      <c r="S936" s="55">
        <v>0</v>
      </c>
      <c r="T936" s="55">
        <v>850678000</v>
      </c>
      <c r="U936" s="55">
        <v>41030000</v>
      </c>
      <c r="V936" s="55">
        <v>0</v>
      </c>
      <c r="W936" s="55">
        <v>41030000</v>
      </c>
      <c r="X936" s="55">
        <v>380031000</v>
      </c>
      <c r="Y936" s="55">
        <v>0</v>
      </c>
      <c r="Z936" s="55">
        <v>380031000</v>
      </c>
      <c r="AA936" s="55">
        <v>290147000</v>
      </c>
      <c r="AB936" s="55">
        <v>0</v>
      </c>
      <c r="AC936" s="55">
        <v>290147000</v>
      </c>
      <c r="AD936" s="55">
        <v>453905000</v>
      </c>
      <c r="AE936" s="55">
        <v>0</v>
      </c>
      <c r="AF936" s="55">
        <v>453905000</v>
      </c>
      <c r="AJ936" s="55">
        <v>701922</v>
      </c>
      <c r="AK936" s="55">
        <v>0</v>
      </c>
      <c r="AL936" s="55">
        <v>44933</v>
      </c>
      <c r="AM936" s="55">
        <v>651</v>
      </c>
      <c r="AN936" s="55">
        <v>2384250</v>
      </c>
      <c r="AO936" s="55">
        <v>1757700</v>
      </c>
      <c r="AQ936" s="55">
        <v>20746715430086</v>
      </c>
      <c r="AR936" s="55">
        <v>44153922000</v>
      </c>
      <c r="AS936" s="55">
        <v>7699041000</v>
      </c>
      <c r="AT936" s="55">
        <v>69321966000</v>
      </c>
      <c r="AU936" s="55">
        <f t="shared" si="762"/>
        <v>21482062</v>
      </c>
      <c r="AV936" s="99">
        <f t="shared" si="763"/>
        <v>26870386712.595997</v>
      </c>
    </row>
    <row r="937" spans="1:48">
      <c r="A937" s="92">
        <v>45044</v>
      </c>
      <c r="B937" s="55">
        <v>27344420000</v>
      </c>
      <c r="C937" s="55">
        <v>0</v>
      </c>
      <c r="D937" s="55">
        <v>0</v>
      </c>
      <c r="E937" s="55">
        <v>0</v>
      </c>
      <c r="F937" s="55">
        <v>27344420000</v>
      </c>
      <c r="G937" s="55">
        <v>7382993</v>
      </c>
      <c r="H937" s="55">
        <v>1217761000</v>
      </c>
      <c r="I937" s="55">
        <v>74781000000</v>
      </c>
      <c r="J937" s="55">
        <v>75998761000</v>
      </c>
      <c r="L937" s="55">
        <v>3312890000</v>
      </c>
      <c r="M937" s="55">
        <v>8917000000</v>
      </c>
      <c r="N937" s="55">
        <v>12229890000</v>
      </c>
      <c r="O937" s="55">
        <v>674271000</v>
      </c>
      <c r="P937" s="55">
        <v>0</v>
      </c>
      <c r="Q937" s="55">
        <v>674271000</v>
      </c>
      <c r="R937" s="55">
        <v>562709000</v>
      </c>
      <c r="S937" s="55">
        <v>0</v>
      </c>
      <c r="T937" s="55">
        <v>562709000</v>
      </c>
      <c r="U937" s="55">
        <v>117842000</v>
      </c>
      <c r="V937" s="55">
        <v>0</v>
      </c>
      <c r="W937" s="55">
        <v>117842000</v>
      </c>
      <c r="X937" s="55">
        <v>686621000</v>
      </c>
      <c r="Y937" s="55">
        <v>0</v>
      </c>
      <c r="Z937" s="55">
        <v>686621000</v>
      </c>
      <c r="AA937" s="55">
        <v>91573000</v>
      </c>
      <c r="AB937" s="55">
        <v>0</v>
      </c>
      <c r="AC937" s="55">
        <v>91573000</v>
      </c>
      <c r="AD937" s="55">
        <v>465770000</v>
      </c>
      <c r="AE937" s="55">
        <v>0</v>
      </c>
      <c r="AF937" s="55">
        <v>465770000</v>
      </c>
      <c r="AJ937" s="55">
        <v>15835619</v>
      </c>
      <c r="AK937" s="55">
        <v>0</v>
      </c>
      <c r="AL937" s="55">
        <v>44929</v>
      </c>
      <c r="AM937" s="55">
        <v>633</v>
      </c>
      <c r="AN937" s="55">
        <v>10159200</v>
      </c>
      <c r="AO937" s="55">
        <v>1709100</v>
      </c>
      <c r="AQ937" s="55">
        <v>23624306488088</v>
      </c>
      <c r="AR937" s="55">
        <v>208355980000</v>
      </c>
      <c r="AS937" s="55">
        <v>175722228000</v>
      </c>
      <c r="AT937" s="55">
        <v>203066648000</v>
      </c>
      <c r="AU937" s="55">
        <f t="shared" si="762"/>
        <v>35086912</v>
      </c>
      <c r="AV937" s="99">
        <f t="shared" si="763"/>
        <v>26905473624.595997</v>
      </c>
    </row>
    <row r="938" spans="1:48">
      <c r="A938" s="92">
        <v>45050</v>
      </c>
      <c r="B938" s="55">
        <v>12819665000.040001</v>
      </c>
      <c r="C938" s="55">
        <v>0</v>
      </c>
      <c r="D938" s="55">
        <v>0</v>
      </c>
      <c r="E938" s="55">
        <v>0</v>
      </c>
      <c r="F938" s="55">
        <v>12819665000.040001</v>
      </c>
      <c r="G938" s="55">
        <v>3461310</v>
      </c>
      <c r="H938" s="55">
        <v>1801949000</v>
      </c>
      <c r="I938" s="55">
        <v>0</v>
      </c>
      <c r="J938" s="55">
        <v>1801949000</v>
      </c>
      <c r="L938" s="55">
        <v>10954673000</v>
      </c>
      <c r="M938" s="55">
        <v>0</v>
      </c>
      <c r="N938" s="55">
        <v>10954673000</v>
      </c>
      <c r="O938" s="55">
        <v>554398000</v>
      </c>
      <c r="P938" s="55">
        <v>0</v>
      </c>
      <c r="Q938" s="55">
        <v>554398000</v>
      </c>
      <c r="R938" s="55">
        <v>1458730000</v>
      </c>
      <c r="S938" s="55">
        <v>0</v>
      </c>
      <c r="T938" s="55">
        <v>1458730000</v>
      </c>
      <c r="U938" s="55">
        <v>372081000</v>
      </c>
      <c r="V938" s="55">
        <v>0</v>
      </c>
      <c r="W938" s="55">
        <v>372081000</v>
      </c>
      <c r="X938" s="55">
        <v>388245000</v>
      </c>
      <c r="Y938" s="55">
        <v>0</v>
      </c>
      <c r="Z938" s="55">
        <v>388245000</v>
      </c>
      <c r="AA938" s="55">
        <v>569035000</v>
      </c>
      <c r="AB938" s="55">
        <v>0</v>
      </c>
      <c r="AC938" s="55">
        <v>569035000</v>
      </c>
      <c r="AD938" s="55">
        <v>456500000</v>
      </c>
      <c r="AE938" s="55">
        <v>0</v>
      </c>
      <c r="AF938" s="55">
        <v>456500000</v>
      </c>
      <c r="AJ938" s="55">
        <v>1788006</v>
      </c>
      <c r="AK938" s="55">
        <v>0</v>
      </c>
      <c r="AL938" s="55">
        <v>44933</v>
      </c>
      <c r="AM938" s="55">
        <v>244</v>
      </c>
      <c r="AN938" s="55">
        <v>2876400</v>
      </c>
      <c r="AO938" s="55">
        <v>658800</v>
      </c>
      <c r="AQ938" s="55">
        <v>24437462914100</v>
      </c>
      <c r="AR938" s="55">
        <v>160078060000</v>
      </c>
      <c r="AS938" s="55">
        <v>17751811000</v>
      </c>
      <c r="AT938" s="55">
        <v>30571476000.040001</v>
      </c>
      <c r="AU938" s="55">
        <f t="shared" si="762"/>
        <v>8784516</v>
      </c>
      <c r="AV938" s="99">
        <f t="shared" si="763"/>
        <v>26914258140.595997</v>
      </c>
    </row>
    <row r="939" spans="1:48">
      <c r="A939" s="92">
        <v>45051</v>
      </c>
      <c r="B939" s="55">
        <v>21868754999.919998</v>
      </c>
      <c r="C939" s="55">
        <v>0</v>
      </c>
      <c r="D939" s="55">
        <v>0</v>
      </c>
      <c r="E939" s="55">
        <v>0</v>
      </c>
      <c r="F939" s="55">
        <v>21868754999.919998</v>
      </c>
      <c r="G939" s="55">
        <v>5904564</v>
      </c>
      <c r="H939" s="55">
        <v>3513546000</v>
      </c>
      <c r="I939" s="55">
        <v>0</v>
      </c>
      <c r="J939" s="55">
        <v>3513546000</v>
      </c>
      <c r="L939" s="55">
        <v>8475534000</v>
      </c>
      <c r="M939" s="55">
        <v>0</v>
      </c>
      <c r="N939" s="55">
        <v>8475534000</v>
      </c>
      <c r="O939" s="55">
        <v>31737000</v>
      </c>
      <c r="P939" s="55">
        <v>0</v>
      </c>
      <c r="Q939" s="55">
        <v>31737000</v>
      </c>
      <c r="R939" s="55">
        <v>783501000</v>
      </c>
      <c r="S939" s="55">
        <v>0</v>
      </c>
      <c r="T939" s="55">
        <v>783501000</v>
      </c>
      <c r="U939" s="55">
        <v>48598000</v>
      </c>
      <c r="V939" s="55">
        <v>0</v>
      </c>
      <c r="W939" s="55">
        <v>48598000</v>
      </c>
      <c r="X939" s="55">
        <v>359433000</v>
      </c>
      <c r="Y939" s="55">
        <v>0</v>
      </c>
      <c r="Z939" s="55">
        <v>359433000</v>
      </c>
      <c r="AA939" s="55">
        <v>103706000</v>
      </c>
      <c r="AB939" s="55">
        <v>0</v>
      </c>
      <c r="AC939" s="55">
        <v>103706000</v>
      </c>
      <c r="AD939" s="55">
        <v>454500000</v>
      </c>
      <c r="AE939" s="55">
        <v>0</v>
      </c>
      <c r="AF939" s="55">
        <v>454500000</v>
      </c>
      <c r="AJ939" s="55">
        <v>1487220</v>
      </c>
      <c r="AK939" s="55">
        <v>252060</v>
      </c>
      <c r="AL939" s="55">
        <v>44929</v>
      </c>
      <c r="AM939" s="55">
        <v>320</v>
      </c>
      <c r="AN939" s="55">
        <v>6640200</v>
      </c>
      <c r="AO939" s="55">
        <v>864000</v>
      </c>
      <c r="AQ939" s="55">
        <v>21506721136462</v>
      </c>
      <c r="AR939" s="55">
        <v>37883876000</v>
      </c>
      <c r="AS939" s="55">
        <v>14962055000</v>
      </c>
      <c r="AT939" s="55">
        <v>36830809999.919998</v>
      </c>
      <c r="AU939" s="55">
        <f t="shared" ref="AU939:AU943" si="764">G939+AJ939+AK939+AN939+AO939+AP939</f>
        <v>15148044</v>
      </c>
      <c r="AV939" s="99">
        <f t="shared" ref="AV939:AV943" si="765">AV938+AU939</f>
        <v>26929406184.595997</v>
      </c>
    </row>
    <row r="940" spans="1:48">
      <c r="A940" s="92">
        <v>45054</v>
      </c>
      <c r="B940" s="55">
        <v>17307805000.130001</v>
      </c>
      <c r="C940" s="55">
        <v>0</v>
      </c>
      <c r="D940" s="55">
        <v>0</v>
      </c>
      <c r="E940" s="55">
        <v>0</v>
      </c>
      <c r="F940" s="55">
        <v>17307805000.130001</v>
      </c>
      <c r="G940" s="55">
        <v>4673107</v>
      </c>
      <c r="H940" s="55">
        <v>8398819000</v>
      </c>
      <c r="I940" s="55">
        <v>12451400000</v>
      </c>
      <c r="J940" s="55">
        <v>20850219000</v>
      </c>
      <c r="L940" s="55">
        <v>13090157000</v>
      </c>
      <c r="M940" s="55">
        <v>4418000000</v>
      </c>
      <c r="N940" s="55">
        <v>17508157000</v>
      </c>
      <c r="O940" s="55">
        <v>234028000</v>
      </c>
      <c r="P940" s="55">
        <v>0</v>
      </c>
      <c r="Q940" s="55">
        <v>234028000</v>
      </c>
      <c r="R940" s="55">
        <v>616277000</v>
      </c>
      <c r="S940" s="55">
        <v>0</v>
      </c>
      <c r="T940" s="55">
        <v>616277000</v>
      </c>
      <c r="U940" s="55">
        <v>887845000</v>
      </c>
      <c r="V940" s="55">
        <v>0</v>
      </c>
      <c r="W940" s="55">
        <v>887845000</v>
      </c>
      <c r="X940" s="55">
        <v>392673000</v>
      </c>
      <c r="Y940" s="55">
        <v>0</v>
      </c>
      <c r="Z940" s="55">
        <v>392673000</v>
      </c>
      <c r="AA940" s="55">
        <v>5845000</v>
      </c>
      <c r="AB940" s="55">
        <v>0</v>
      </c>
      <c r="AC940" s="55">
        <v>5845000</v>
      </c>
      <c r="AD940" s="55">
        <v>458000000</v>
      </c>
      <c r="AE940" s="55">
        <v>0</v>
      </c>
      <c r="AF940" s="55">
        <v>458000000</v>
      </c>
      <c r="AJ940" s="55">
        <v>5637526</v>
      </c>
      <c r="AK940" s="55">
        <v>780420</v>
      </c>
      <c r="AL940" s="55">
        <v>44930</v>
      </c>
      <c r="AM940" s="55">
        <v>383</v>
      </c>
      <c r="AN940" s="55">
        <v>1731450</v>
      </c>
      <c r="AO940" s="55">
        <v>1034100</v>
      </c>
      <c r="AQ940" s="55">
        <v>25527863650108</v>
      </c>
      <c r="AR940" s="55">
        <v>94995154000</v>
      </c>
      <c r="AS940" s="55">
        <v>59020144000</v>
      </c>
      <c r="AT940" s="55">
        <v>76327949000.130005</v>
      </c>
      <c r="AU940" s="55">
        <f t="shared" si="764"/>
        <v>13856603</v>
      </c>
      <c r="AV940" s="99">
        <f t="shared" si="765"/>
        <v>26943262787.595997</v>
      </c>
    </row>
    <row r="941" spans="1:48">
      <c r="A941" s="92">
        <v>45055</v>
      </c>
      <c r="B941" s="55">
        <v>13236145000</v>
      </c>
      <c r="C941" s="55">
        <v>0</v>
      </c>
      <c r="D941" s="55">
        <v>0</v>
      </c>
      <c r="E941" s="55">
        <v>0</v>
      </c>
      <c r="F941" s="55">
        <v>13236145000</v>
      </c>
      <c r="G941" s="55">
        <v>3573759</v>
      </c>
      <c r="H941" s="55">
        <v>8454461000</v>
      </c>
      <c r="I941" s="55">
        <v>21432000000</v>
      </c>
      <c r="J941" s="55">
        <v>29886461000</v>
      </c>
      <c r="L941" s="55">
        <v>5517204000</v>
      </c>
      <c r="M941" s="55">
        <v>17760000000</v>
      </c>
      <c r="N941" s="55">
        <v>23277204000</v>
      </c>
      <c r="O941" s="55">
        <v>103539000</v>
      </c>
      <c r="P941" s="55">
        <v>0</v>
      </c>
      <c r="Q941" s="55">
        <v>103539000</v>
      </c>
      <c r="R941" s="55">
        <v>549940000</v>
      </c>
      <c r="S941" s="55">
        <v>0</v>
      </c>
      <c r="T941" s="55">
        <v>549940000</v>
      </c>
      <c r="U941" s="55">
        <v>11600000</v>
      </c>
      <c r="V941" s="55">
        <v>0</v>
      </c>
      <c r="W941" s="55">
        <v>11600000</v>
      </c>
      <c r="X941" s="55">
        <v>342000000</v>
      </c>
      <c r="Y941" s="55">
        <v>0</v>
      </c>
      <c r="Z941" s="55">
        <v>342000000</v>
      </c>
      <c r="AA941" s="55">
        <v>17663000</v>
      </c>
      <c r="AB941" s="55">
        <v>0</v>
      </c>
      <c r="AC941" s="55">
        <v>17663000</v>
      </c>
      <c r="AD941" s="55">
        <v>461000000</v>
      </c>
      <c r="AE941" s="55">
        <v>0</v>
      </c>
      <c r="AF941" s="55">
        <v>461000000</v>
      </c>
      <c r="AJ941" s="55">
        <v>8723960</v>
      </c>
      <c r="AK941" s="55">
        <v>726000</v>
      </c>
      <c r="AL941" s="55">
        <v>44931</v>
      </c>
      <c r="AM941" s="55">
        <v>526</v>
      </c>
      <c r="AN941" s="55">
        <v>1359150</v>
      </c>
      <c r="AO941" s="55">
        <v>1420200</v>
      </c>
      <c r="AQ941" s="55">
        <v>22346589678110</v>
      </c>
      <c r="AR941" s="55">
        <v>131266952000</v>
      </c>
      <c r="AS941" s="55">
        <v>95073919000</v>
      </c>
      <c r="AT941" s="55">
        <v>108310064000</v>
      </c>
      <c r="AU941" s="55">
        <f t="shared" si="764"/>
        <v>15803069</v>
      </c>
      <c r="AV941" s="99">
        <f t="shared" si="765"/>
        <v>26959065856.595997</v>
      </c>
    </row>
    <row r="942" spans="1:48">
      <c r="A942" s="92">
        <v>45056</v>
      </c>
      <c r="B942" s="55">
        <v>27150595000</v>
      </c>
      <c r="C942" s="55">
        <v>47090533800</v>
      </c>
      <c r="D942" s="55">
        <v>0</v>
      </c>
      <c r="E942" s="55">
        <v>0</v>
      </c>
      <c r="F942" s="55">
        <v>74241128800</v>
      </c>
      <c r="G942" s="55">
        <v>20045105</v>
      </c>
      <c r="H942" s="55">
        <v>219620000</v>
      </c>
      <c r="I942" s="55">
        <v>0</v>
      </c>
      <c r="J942" s="55">
        <v>219620000</v>
      </c>
      <c r="L942" s="55">
        <v>3167831000</v>
      </c>
      <c r="M942" s="55">
        <v>39930000000</v>
      </c>
      <c r="N942" s="55">
        <v>43097831000</v>
      </c>
      <c r="O942" s="55">
        <v>1131812000</v>
      </c>
      <c r="P942" s="55">
        <v>0</v>
      </c>
      <c r="Q942" s="55">
        <v>1131812000</v>
      </c>
      <c r="R942" s="55">
        <v>449892000</v>
      </c>
      <c r="S942" s="55">
        <v>0</v>
      </c>
      <c r="T942" s="55">
        <v>449892000</v>
      </c>
      <c r="U942" s="55">
        <v>1311251000</v>
      </c>
      <c r="V942" s="55">
        <v>0</v>
      </c>
      <c r="W942" s="55">
        <v>1311251000</v>
      </c>
      <c r="X942" s="55">
        <v>353625000</v>
      </c>
      <c r="Y942" s="55">
        <v>0</v>
      </c>
      <c r="Z942" s="55">
        <v>353625000</v>
      </c>
      <c r="AA942" s="55">
        <v>309597000</v>
      </c>
      <c r="AB942" s="55">
        <v>0</v>
      </c>
      <c r="AC942" s="55">
        <v>309597000</v>
      </c>
      <c r="AD942" s="55">
        <v>462500000</v>
      </c>
      <c r="AE942" s="55">
        <v>0</v>
      </c>
      <c r="AF942" s="55">
        <v>462500000</v>
      </c>
      <c r="AJ942" s="55">
        <v>7987262</v>
      </c>
      <c r="AK942" s="55">
        <v>574140</v>
      </c>
      <c r="AL942" s="55">
        <v>44932</v>
      </c>
      <c r="AM942" s="55">
        <v>458</v>
      </c>
      <c r="AN942" s="55">
        <v>624750</v>
      </c>
      <c r="AO942" s="55">
        <v>1236600</v>
      </c>
      <c r="AQ942" s="55">
        <v>26768429287312</v>
      </c>
      <c r="AR942" s="55">
        <v>132713066000</v>
      </c>
      <c r="AS942" s="55">
        <v>88474328000</v>
      </c>
      <c r="AT942" s="55">
        <v>162715456800</v>
      </c>
      <c r="AU942" s="55">
        <f t="shared" si="764"/>
        <v>30467857</v>
      </c>
      <c r="AV942" s="99">
        <f t="shared" si="765"/>
        <v>26989533713.595997</v>
      </c>
    </row>
    <row r="943" spans="1:48">
      <c r="A943" s="92">
        <v>45057</v>
      </c>
      <c r="B943" s="55">
        <v>47019820000.209999</v>
      </c>
      <c r="C943" s="55">
        <v>16211597800</v>
      </c>
      <c r="D943" s="55">
        <v>0</v>
      </c>
      <c r="E943" s="55">
        <v>0</v>
      </c>
      <c r="F943" s="55">
        <v>63231417800.209999</v>
      </c>
      <c r="G943" s="55">
        <v>17072483</v>
      </c>
      <c r="H943" s="55">
        <v>1074557000</v>
      </c>
      <c r="I943" s="55">
        <v>3602600000</v>
      </c>
      <c r="J943" s="55">
        <v>4677157000</v>
      </c>
      <c r="L943" s="55">
        <v>24944349000</v>
      </c>
      <c r="M943" s="55">
        <v>0</v>
      </c>
      <c r="N943" s="55">
        <v>24944349000</v>
      </c>
      <c r="O943" s="55">
        <v>801763000</v>
      </c>
      <c r="P943" s="55">
        <v>0</v>
      </c>
      <c r="Q943" s="55">
        <v>801763000</v>
      </c>
      <c r="R943" s="55">
        <v>530611000</v>
      </c>
      <c r="S943" s="55">
        <v>0</v>
      </c>
      <c r="T943" s="55">
        <v>530611000</v>
      </c>
      <c r="U943" s="55">
        <v>76398000</v>
      </c>
      <c r="V943" s="55">
        <v>0</v>
      </c>
      <c r="W943" s="55">
        <v>76398000</v>
      </c>
      <c r="X943" s="55">
        <v>351917000</v>
      </c>
      <c r="Y943" s="55">
        <v>3441500000</v>
      </c>
      <c r="Z943" s="55">
        <v>3793417000</v>
      </c>
      <c r="AA943" s="55">
        <v>42353000</v>
      </c>
      <c r="AB943" s="55">
        <v>0</v>
      </c>
      <c r="AC943" s="55">
        <v>42353000</v>
      </c>
      <c r="AD943" s="55">
        <v>465000000</v>
      </c>
      <c r="AE943" s="55">
        <v>0</v>
      </c>
      <c r="AF943" s="55">
        <v>465000000</v>
      </c>
      <c r="AJ943" s="55">
        <v>4322928</v>
      </c>
      <c r="AK943" s="55">
        <v>777420</v>
      </c>
      <c r="AL943" s="55">
        <v>44933</v>
      </c>
      <c r="AM943" s="55">
        <v>874</v>
      </c>
      <c r="AN943" s="55">
        <v>1695750</v>
      </c>
      <c r="AO943" s="55">
        <v>2359800</v>
      </c>
      <c r="AQ943" s="55">
        <v>28043315583114</v>
      </c>
      <c r="AR943" s="55">
        <v>107473306000</v>
      </c>
      <c r="AS943" s="55">
        <v>43615674000</v>
      </c>
      <c r="AT943" s="55">
        <v>106847091800.20999</v>
      </c>
      <c r="AU943" s="55">
        <f t="shared" si="764"/>
        <v>26228381</v>
      </c>
      <c r="AV943" s="99">
        <f t="shared" si="765"/>
        <v>27015762094.595997</v>
      </c>
    </row>
    <row r="944" spans="1:48">
      <c r="A944" s="92">
        <v>45058</v>
      </c>
      <c r="B944" s="55">
        <v>22564570000</v>
      </c>
      <c r="C944" s="55">
        <v>15507355000</v>
      </c>
      <c r="D944" s="55">
        <v>0</v>
      </c>
      <c r="E944" s="55">
        <v>0</v>
      </c>
      <c r="F944" s="55">
        <v>38071925000</v>
      </c>
      <c r="G944" s="55">
        <v>10279420</v>
      </c>
      <c r="H944" s="55">
        <v>15130350000</v>
      </c>
      <c r="I944" s="55">
        <v>45064300000</v>
      </c>
      <c r="J944" s="55">
        <v>60194650000</v>
      </c>
      <c r="L944" s="55">
        <v>2029672000</v>
      </c>
      <c r="M944" s="55">
        <v>2223500000</v>
      </c>
      <c r="N944" s="55">
        <v>4253172000</v>
      </c>
      <c r="O944" s="55">
        <v>78762000</v>
      </c>
      <c r="P944" s="55">
        <v>0</v>
      </c>
      <c r="Q944" s="55">
        <v>78762000</v>
      </c>
      <c r="R944" s="55">
        <v>1025594000</v>
      </c>
      <c r="S944" s="55">
        <v>0</v>
      </c>
      <c r="T944" s="55">
        <v>1025594000</v>
      </c>
      <c r="U944" s="55">
        <v>90891000</v>
      </c>
      <c r="V944" s="55">
        <v>0</v>
      </c>
      <c r="W944" s="55">
        <v>90891000</v>
      </c>
      <c r="X944" s="55">
        <v>365045000</v>
      </c>
      <c r="Y944" s="55">
        <v>0</v>
      </c>
      <c r="Z944" s="55">
        <v>365045000</v>
      </c>
      <c r="AA944" s="55">
        <v>79915000</v>
      </c>
      <c r="AB944" s="55">
        <v>0</v>
      </c>
      <c r="AC944" s="55">
        <v>79915000</v>
      </c>
      <c r="AD944" s="55">
        <v>465000000</v>
      </c>
      <c r="AE944" s="55">
        <v>0</v>
      </c>
      <c r="AF944" s="55">
        <v>465000000</v>
      </c>
      <c r="AJ944" s="55">
        <v>10592449</v>
      </c>
      <c r="AK944" s="55">
        <v>551730</v>
      </c>
      <c r="AL944" s="55">
        <v>44929</v>
      </c>
      <c r="AM944" s="55">
        <v>1043</v>
      </c>
      <c r="AN944" s="55">
        <v>12148200</v>
      </c>
      <c r="AO944" s="55">
        <v>2816100</v>
      </c>
      <c r="AQ944" s="55">
        <v>28257638310516</v>
      </c>
      <c r="AR944" s="55">
        <v>155374794000</v>
      </c>
      <c r="AS944" s="55">
        <v>115054029000</v>
      </c>
      <c r="AT944" s="55">
        <v>153125954000</v>
      </c>
      <c r="AU944" s="55">
        <f t="shared" ref="AU944:AU958" si="766">G944+AJ944+AK944+AN944+AO944+AP944</f>
        <v>36387899</v>
      </c>
      <c r="AV944" s="99">
        <f t="shared" ref="AV944:AV958" si="767">AV943+AU944</f>
        <v>27052149993.595997</v>
      </c>
    </row>
    <row r="945" spans="1:48">
      <c r="A945" s="92">
        <v>45061</v>
      </c>
      <c r="B945" s="55">
        <v>0</v>
      </c>
      <c r="C945" s="55">
        <v>17375910000</v>
      </c>
      <c r="D945" s="55">
        <v>0</v>
      </c>
      <c r="E945" s="55">
        <v>0</v>
      </c>
      <c r="F945" s="55">
        <v>17375910000</v>
      </c>
      <c r="G945" s="55">
        <v>4691496</v>
      </c>
      <c r="H945" s="55">
        <v>604872000</v>
      </c>
      <c r="I945" s="55">
        <v>35487280000</v>
      </c>
      <c r="J945" s="55">
        <v>36092152000</v>
      </c>
      <c r="L945" s="55">
        <v>8724964000</v>
      </c>
      <c r="M945" s="55">
        <v>2253000000</v>
      </c>
      <c r="N945" s="55">
        <v>10977964000</v>
      </c>
      <c r="O945" s="55">
        <v>141519000</v>
      </c>
      <c r="P945" s="55">
        <v>0</v>
      </c>
      <c r="Q945" s="55">
        <v>141519000</v>
      </c>
      <c r="R945" s="55">
        <v>787039000</v>
      </c>
      <c r="S945" s="55">
        <v>0</v>
      </c>
      <c r="T945" s="55">
        <v>787039000</v>
      </c>
      <c r="U945" s="55">
        <v>17081000</v>
      </c>
      <c r="V945" s="55">
        <v>0</v>
      </c>
      <c r="W945" s="55">
        <v>17081000</v>
      </c>
      <c r="X945" s="55">
        <v>358219000</v>
      </c>
      <c r="Y945" s="55">
        <v>0</v>
      </c>
      <c r="Z945" s="55">
        <v>358219000</v>
      </c>
      <c r="AA945" s="55">
        <v>122655000</v>
      </c>
      <c r="AB945" s="55">
        <v>0</v>
      </c>
      <c r="AC945" s="55">
        <v>122655000</v>
      </c>
      <c r="AD945" s="55">
        <v>470000000</v>
      </c>
      <c r="AE945" s="55">
        <v>0</v>
      </c>
      <c r="AF945" s="55">
        <v>470000000</v>
      </c>
      <c r="AJ945" s="55">
        <v>8005696</v>
      </c>
      <c r="AK945" s="55">
        <v>25620</v>
      </c>
      <c r="AL945" s="55">
        <v>44930</v>
      </c>
      <c r="AM945" s="55">
        <v>190</v>
      </c>
      <c r="AN945" s="55">
        <v>4095300</v>
      </c>
      <c r="AO945" s="55">
        <v>513000</v>
      </c>
      <c r="AQ945" s="55">
        <v>32206006592322</v>
      </c>
      <c r="AR945" s="55">
        <v>160379136000</v>
      </c>
      <c r="AS945" s="55">
        <v>87948849000</v>
      </c>
      <c r="AT945" s="55">
        <v>105324759000</v>
      </c>
      <c r="AU945" s="55">
        <f t="shared" si="766"/>
        <v>17331112</v>
      </c>
      <c r="AV945" s="99">
        <f t="shared" si="767"/>
        <v>27069481105.595997</v>
      </c>
    </row>
    <row r="946" spans="1:48">
      <c r="A946" s="92">
        <v>45062</v>
      </c>
      <c r="B946" s="55">
        <v>2480960000</v>
      </c>
      <c r="C946" s="55">
        <v>1133200</v>
      </c>
      <c r="D946" s="55">
        <v>0</v>
      </c>
      <c r="E946" s="55">
        <v>0</v>
      </c>
      <c r="F946" s="55">
        <v>2482093200</v>
      </c>
      <c r="G946" s="55">
        <v>670165</v>
      </c>
      <c r="H946" s="55">
        <v>452825000</v>
      </c>
      <c r="I946" s="55">
        <v>9130500000</v>
      </c>
      <c r="J946" s="55">
        <v>9583325000</v>
      </c>
      <c r="L946" s="55">
        <v>4053936000</v>
      </c>
      <c r="M946" s="55">
        <v>2243000000</v>
      </c>
      <c r="N946" s="55">
        <v>6296936000</v>
      </c>
      <c r="O946" s="55">
        <v>73304000</v>
      </c>
      <c r="P946" s="55">
        <v>0</v>
      </c>
      <c r="Q946" s="55">
        <v>73304000</v>
      </c>
      <c r="R946" s="55">
        <v>727877000</v>
      </c>
      <c r="S946" s="55">
        <v>0</v>
      </c>
      <c r="T946" s="55">
        <v>727877000</v>
      </c>
      <c r="U946" s="55">
        <v>199226000</v>
      </c>
      <c r="V946" s="55">
        <v>0</v>
      </c>
      <c r="W946" s="55">
        <v>199226000</v>
      </c>
      <c r="X946" s="55">
        <v>358067000</v>
      </c>
      <c r="Y946" s="55">
        <v>0</v>
      </c>
      <c r="Z946" s="55">
        <v>358067000</v>
      </c>
      <c r="AA946" s="55">
        <v>1081854000</v>
      </c>
      <c r="AB946" s="55">
        <v>0</v>
      </c>
      <c r="AC946" s="55">
        <v>1081854000</v>
      </c>
      <c r="AD946" s="55">
        <v>469500000</v>
      </c>
      <c r="AE946" s="55">
        <v>0</v>
      </c>
      <c r="AF946" s="55">
        <v>469500000</v>
      </c>
      <c r="AJ946" s="55">
        <v>2848222</v>
      </c>
      <c r="AK946" s="55">
        <v>336960</v>
      </c>
      <c r="AL946" s="55">
        <v>44931</v>
      </c>
      <c r="AM946" s="55">
        <v>100</v>
      </c>
      <c r="AN946" s="55">
        <v>3993300</v>
      </c>
      <c r="AO946" s="55">
        <v>270000</v>
      </c>
      <c r="AQ946" s="55">
        <v>26616900111324</v>
      </c>
      <c r="AR946" s="55">
        <v>52286676000</v>
      </c>
      <c r="AS946" s="55">
        <v>31389789000</v>
      </c>
      <c r="AT946" s="55">
        <v>33871882200</v>
      </c>
      <c r="AU946" s="55">
        <f t="shared" si="766"/>
        <v>8118647</v>
      </c>
      <c r="AV946" s="99">
        <f t="shared" si="767"/>
        <v>27077599752.595997</v>
      </c>
    </row>
    <row r="947" spans="1:48">
      <c r="A947" s="92">
        <v>45063</v>
      </c>
      <c r="B947" s="55">
        <v>178643465000</v>
      </c>
      <c r="C947" s="55">
        <v>0</v>
      </c>
      <c r="D947" s="55">
        <v>0</v>
      </c>
      <c r="E947" s="55">
        <v>0</v>
      </c>
      <c r="F947" s="55">
        <v>178643465000</v>
      </c>
      <c r="G947" s="55">
        <v>48233736</v>
      </c>
      <c r="H947" s="55">
        <v>455259000</v>
      </c>
      <c r="I947" s="55">
        <v>16442900000</v>
      </c>
      <c r="J947" s="55">
        <v>16898159000</v>
      </c>
      <c r="L947" s="55">
        <v>11239280000</v>
      </c>
      <c r="M947" s="55">
        <v>6728000000</v>
      </c>
      <c r="N947" s="55">
        <v>17967280000</v>
      </c>
      <c r="O947" s="55">
        <v>5212176000</v>
      </c>
      <c r="P947" s="55">
        <v>0</v>
      </c>
      <c r="Q947" s="55">
        <v>5212176000</v>
      </c>
      <c r="R947" s="55">
        <v>473754000</v>
      </c>
      <c r="S947" s="55">
        <v>0</v>
      </c>
      <c r="T947" s="55">
        <v>473754000</v>
      </c>
      <c r="U947" s="55">
        <v>179747000</v>
      </c>
      <c r="V947" s="55">
        <v>0</v>
      </c>
      <c r="W947" s="55">
        <v>179747000</v>
      </c>
      <c r="X947" s="55">
        <v>388919000</v>
      </c>
      <c r="Y947" s="55">
        <v>0</v>
      </c>
      <c r="Z947" s="55">
        <v>388919000</v>
      </c>
      <c r="AA947" s="55">
        <v>145926000</v>
      </c>
      <c r="AB947" s="55">
        <v>0</v>
      </c>
      <c r="AC947" s="55">
        <v>145926000</v>
      </c>
      <c r="AD947" s="55">
        <v>481268000</v>
      </c>
      <c r="AE947" s="55">
        <v>0</v>
      </c>
      <c r="AF947" s="55">
        <v>481268000</v>
      </c>
      <c r="AJ947" s="55">
        <v>6177006</v>
      </c>
      <c r="AK947" s="55">
        <v>819540</v>
      </c>
      <c r="AL947" s="55">
        <v>44932</v>
      </c>
      <c r="AM947" s="55">
        <v>2028</v>
      </c>
      <c r="AN947" s="55">
        <v>4732800</v>
      </c>
      <c r="AO947" s="55">
        <v>5475600</v>
      </c>
      <c r="AQ947" s="55">
        <v>31127332639126</v>
      </c>
      <c r="AR947" s="55">
        <v>93993374000</v>
      </c>
      <c r="AS947" s="55">
        <v>66167869000</v>
      </c>
      <c r="AT947" s="55">
        <v>244811334000</v>
      </c>
      <c r="AU947" s="55">
        <f t="shared" si="766"/>
        <v>65438682</v>
      </c>
      <c r="AV947" s="99">
        <f t="shared" si="767"/>
        <v>27143038434.595997</v>
      </c>
    </row>
    <row r="948" spans="1:48">
      <c r="A948" s="92">
        <v>45064</v>
      </c>
      <c r="B948" s="55">
        <v>23874875000</v>
      </c>
      <c r="C948" s="55">
        <v>17206399100</v>
      </c>
      <c r="D948" s="55">
        <v>0</v>
      </c>
      <c r="E948" s="55">
        <v>0</v>
      </c>
      <c r="F948" s="55">
        <v>41081274100</v>
      </c>
      <c r="G948" s="55">
        <v>11091944</v>
      </c>
      <c r="H948" s="55">
        <v>383785000</v>
      </c>
      <c r="I948" s="55">
        <v>20093200000</v>
      </c>
      <c r="J948" s="55">
        <v>20476985000</v>
      </c>
      <c r="L948" s="55">
        <v>4684310000</v>
      </c>
      <c r="M948" s="55">
        <v>8907000000</v>
      </c>
      <c r="N948" s="55">
        <v>13591310000</v>
      </c>
      <c r="O948" s="55">
        <v>1677695000</v>
      </c>
      <c r="P948" s="55">
        <v>0</v>
      </c>
      <c r="Q948" s="55">
        <v>1677695000</v>
      </c>
      <c r="R948" s="55">
        <v>829537000</v>
      </c>
      <c r="S948" s="55">
        <v>0</v>
      </c>
      <c r="T948" s="55">
        <v>829537000</v>
      </c>
      <c r="U948" s="55">
        <v>3928000</v>
      </c>
      <c r="V948" s="55">
        <v>0</v>
      </c>
      <c r="W948" s="55">
        <v>3928000</v>
      </c>
      <c r="X948" s="55">
        <v>400700000</v>
      </c>
      <c r="Y948" s="55">
        <v>2087700000</v>
      </c>
      <c r="Z948" s="55">
        <v>2488400000</v>
      </c>
      <c r="AA948" s="55">
        <v>160937000</v>
      </c>
      <c r="AB948" s="55">
        <v>0</v>
      </c>
      <c r="AC948" s="55">
        <v>160937000</v>
      </c>
      <c r="AD948" s="55">
        <v>472000000</v>
      </c>
      <c r="AE948" s="55">
        <v>0</v>
      </c>
      <c r="AF948" s="55">
        <v>472000000</v>
      </c>
      <c r="AJ948" s="55">
        <v>6526014</v>
      </c>
      <c r="AK948" s="55">
        <v>368190</v>
      </c>
      <c r="AL948" s="55">
        <v>44933</v>
      </c>
      <c r="AM948" s="55">
        <v>713</v>
      </c>
      <c r="AN948" s="55">
        <v>5454450</v>
      </c>
      <c r="AO948" s="55">
        <v>1925100</v>
      </c>
      <c r="AQ948" s="55">
        <v>27391460546728</v>
      </c>
      <c r="AR948" s="55">
        <v>106873868000</v>
      </c>
      <c r="AS948" s="55">
        <v>72016692000</v>
      </c>
      <c r="AT948" s="55">
        <v>113097966100</v>
      </c>
      <c r="AU948" s="55">
        <f t="shared" si="766"/>
        <v>25365698</v>
      </c>
      <c r="AV948" s="99">
        <f t="shared" si="767"/>
        <v>27168404132.595997</v>
      </c>
    </row>
    <row r="949" spans="1:48">
      <c r="A949" s="92">
        <v>45065</v>
      </c>
      <c r="B949" s="55">
        <v>44194700000</v>
      </c>
      <c r="C949" s="55">
        <v>22082362250</v>
      </c>
      <c r="D949" s="55">
        <v>0</v>
      </c>
      <c r="E949" s="55">
        <v>0</v>
      </c>
      <c r="F949" s="55">
        <v>66277062250</v>
      </c>
      <c r="G949" s="55">
        <v>17894807</v>
      </c>
      <c r="H949" s="55">
        <v>11708581000</v>
      </c>
      <c r="I949" s="55">
        <v>63463500000</v>
      </c>
      <c r="J949" s="55">
        <v>75172081000</v>
      </c>
      <c r="L949" s="55">
        <v>4395134000</v>
      </c>
      <c r="M949" s="55">
        <v>13354100000</v>
      </c>
      <c r="N949" s="55">
        <v>17749234000</v>
      </c>
      <c r="O949" s="55">
        <v>2576620000</v>
      </c>
      <c r="P949" s="55">
        <v>0</v>
      </c>
      <c r="Q949" s="55">
        <v>2576620000</v>
      </c>
      <c r="R949" s="55">
        <v>948173000</v>
      </c>
      <c r="S949" s="55">
        <v>0</v>
      </c>
      <c r="T949" s="55">
        <v>948173000</v>
      </c>
      <c r="U949" s="55">
        <v>18299000</v>
      </c>
      <c r="V949" s="55">
        <v>0</v>
      </c>
      <c r="W949" s="55">
        <v>18299000</v>
      </c>
      <c r="X949" s="55">
        <v>347890000</v>
      </c>
      <c r="Y949" s="55">
        <v>0</v>
      </c>
      <c r="Z949" s="55">
        <v>347890000</v>
      </c>
      <c r="AA949" s="55">
        <v>10056000</v>
      </c>
      <c r="AB949" s="55">
        <v>0</v>
      </c>
      <c r="AC949" s="55">
        <v>10056000</v>
      </c>
      <c r="AD949" s="55">
        <v>465000000</v>
      </c>
      <c r="AE949" s="55">
        <v>0</v>
      </c>
      <c r="AF949" s="55">
        <v>465000000</v>
      </c>
      <c r="AJ949" s="55">
        <v>16037901</v>
      </c>
      <c r="AK949" s="55">
        <v>700500</v>
      </c>
      <c r="AL949" s="55">
        <v>44929</v>
      </c>
      <c r="AM949" s="55">
        <v>1519</v>
      </c>
      <c r="AN949" s="55">
        <v>16019100</v>
      </c>
      <c r="AO949" s="55">
        <v>4101300</v>
      </c>
      <c r="AQ949" s="55">
        <v>31437755241130</v>
      </c>
      <c r="AR949" s="55">
        <v>228427636000</v>
      </c>
      <c r="AS949" s="55">
        <v>175330637000</v>
      </c>
      <c r="AT949" s="55">
        <v>241607699250</v>
      </c>
      <c r="AU949" s="55">
        <f t="shared" si="766"/>
        <v>54753608</v>
      </c>
      <c r="AV949" s="99">
        <f t="shared" si="767"/>
        <v>27223157740.595997</v>
      </c>
    </row>
    <row r="950" spans="1:48">
      <c r="A950" s="92">
        <v>45068</v>
      </c>
      <c r="B950" s="55">
        <v>105479460000</v>
      </c>
      <c r="C950" s="55">
        <v>8183015000</v>
      </c>
      <c r="D950" s="55">
        <v>0</v>
      </c>
      <c r="E950" s="55">
        <v>0</v>
      </c>
      <c r="F950" s="55">
        <v>113662475000</v>
      </c>
      <c r="G950" s="55">
        <v>30688868</v>
      </c>
      <c r="H950" s="55">
        <v>7690702000</v>
      </c>
      <c r="I950" s="55">
        <v>36501300000</v>
      </c>
      <c r="J950" s="55">
        <v>44192002000</v>
      </c>
      <c r="L950" s="55">
        <v>479281000</v>
      </c>
      <c r="M950" s="55">
        <v>11201000000</v>
      </c>
      <c r="N950" s="55">
        <v>11680281000</v>
      </c>
      <c r="O950" s="55">
        <v>1636000</v>
      </c>
      <c r="P950" s="55">
        <v>0</v>
      </c>
      <c r="Q950" s="55">
        <v>1636000</v>
      </c>
      <c r="R950" s="55">
        <v>628342000</v>
      </c>
      <c r="S950" s="55">
        <v>0</v>
      </c>
      <c r="T950" s="55">
        <v>628342000</v>
      </c>
      <c r="U950" s="55">
        <v>361278000</v>
      </c>
      <c r="V950" s="55">
        <v>0</v>
      </c>
      <c r="W950" s="55">
        <v>361278000</v>
      </c>
      <c r="X950" s="55">
        <v>360007000</v>
      </c>
      <c r="Y950" s="55">
        <v>0</v>
      </c>
      <c r="Z950" s="55">
        <v>360007000</v>
      </c>
      <c r="AA950" s="55">
        <v>68365000</v>
      </c>
      <c r="AB950" s="55">
        <v>0</v>
      </c>
      <c r="AC950" s="55">
        <v>68365000</v>
      </c>
      <c r="AD950" s="55">
        <v>467500000</v>
      </c>
      <c r="AE950" s="55">
        <v>0</v>
      </c>
      <c r="AF950" s="55">
        <v>467500000</v>
      </c>
      <c r="AJ950" s="55">
        <v>9672582</v>
      </c>
      <c r="AK950" s="55">
        <v>1334130</v>
      </c>
      <c r="AL950" s="55">
        <v>44930</v>
      </c>
      <c r="AM950" s="55">
        <v>820</v>
      </c>
      <c r="AN950" s="55">
        <v>3927000</v>
      </c>
      <c r="AO950" s="55">
        <v>2214000</v>
      </c>
      <c r="AQ950" s="55">
        <v>28696172700936</v>
      </c>
      <c r="AR950" s="55">
        <v>253195442000</v>
      </c>
      <c r="AS950" s="55">
        <v>106683811000</v>
      </c>
      <c r="AT950" s="55">
        <v>220346286000</v>
      </c>
      <c r="AU950" s="55">
        <f t="shared" si="766"/>
        <v>47836580</v>
      </c>
      <c r="AV950" s="99">
        <f t="shared" si="767"/>
        <v>27270994320.595997</v>
      </c>
    </row>
    <row r="951" spans="1:48">
      <c r="A951" s="92">
        <v>45069</v>
      </c>
      <c r="B951" s="55">
        <v>118692230000</v>
      </c>
      <c r="C951" s="55">
        <v>12324075000</v>
      </c>
      <c r="D951" s="55">
        <v>0</v>
      </c>
      <c r="E951" s="55">
        <v>0</v>
      </c>
      <c r="F951" s="55">
        <v>131016305000</v>
      </c>
      <c r="G951" s="55">
        <v>35374402</v>
      </c>
      <c r="H951" s="55">
        <v>6403915000</v>
      </c>
      <c r="I951" s="55">
        <v>25473300000</v>
      </c>
      <c r="J951" s="55">
        <v>31877215000</v>
      </c>
      <c r="L951" s="55">
        <v>10457245000</v>
      </c>
      <c r="M951" s="55">
        <v>0</v>
      </c>
      <c r="N951" s="55">
        <v>10457245000</v>
      </c>
      <c r="O951" s="55">
        <v>137114000</v>
      </c>
      <c r="P951" s="55">
        <v>0</v>
      </c>
      <c r="Q951" s="55">
        <v>137114000</v>
      </c>
      <c r="R951" s="55">
        <v>714157000</v>
      </c>
      <c r="S951" s="55">
        <v>0</v>
      </c>
      <c r="T951" s="55">
        <v>714157000</v>
      </c>
      <c r="U951" s="55">
        <v>86180000</v>
      </c>
      <c r="V951" s="55">
        <v>0</v>
      </c>
      <c r="W951" s="55">
        <v>86180000</v>
      </c>
      <c r="X951" s="55">
        <v>366540000</v>
      </c>
      <c r="Y951" s="55">
        <v>0</v>
      </c>
      <c r="Z951" s="55">
        <v>366540000</v>
      </c>
      <c r="AA951" s="55">
        <v>16049000</v>
      </c>
      <c r="AB951" s="55">
        <v>0</v>
      </c>
      <c r="AC951" s="55">
        <v>16049000</v>
      </c>
      <c r="AD951" s="55">
        <v>472241000</v>
      </c>
      <c r="AE951" s="55">
        <v>0</v>
      </c>
      <c r="AF951" s="55">
        <v>472241000</v>
      </c>
      <c r="AJ951" s="55">
        <v>6599766</v>
      </c>
      <c r="AK951" s="55">
        <v>1218660</v>
      </c>
      <c r="AL951" s="55">
        <v>44931</v>
      </c>
      <c r="AM951" s="55">
        <v>786</v>
      </c>
      <c r="AN951" s="55">
        <v>3003900</v>
      </c>
      <c r="AO951" s="55">
        <v>2122200</v>
      </c>
      <c r="AQ951" s="55">
        <v>30291203840138</v>
      </c>
      <c r="AR951" s="55">
        <v>102114142000</v>
      </c>
      <c r="AS951" s="55">
        <v>76526749000</v>
      </c>
      <c r="AT951" s="55">
        <v>207543054000</v>
      </c>
      <c r="AU951" s="55">
        <f t="shared" si="766"/>
        <v>48318928</v>
      </c>
      <c r="AV951" s="99">
        <f t="shared" si="767"/>
        <v>27319313248.595997</v>
      </c>
    </row>
    <row r="952" spans="1:48">
      <c r="A952" s="92">
        <v>45070</v>
      </c>
      <c r="B952" s="55">
        <v>84003410000</v>
      </c>
      <c r="C952" s="55">
        <v>29568885000</v>
      </c>
      <c r="D952" s="55">
        <v>0</v>
      </c>
      <c r="E952" s="55">
        <v>0</v>
      </c>
      <c r="F952" s="55">
        <v>113572295000</v>
      </c>
      <c r="G952" s="55">
        <v>30664520</v>
      </c>
      <c r="H952" s="55">
        <v>3112344000</v>
      </c>
      <c r="I952" s="55">
        <v>3633400000</v>
      </c>
      <c r="J952" s="55">
        <v>6745744000</v>
      </c>
      <c r="L952" s="55">
        <v>2203559000</v>
      </c>
      <c r="M952" s="55">
        <v>8956000000</v>
      </c>
      <c r="N952" s="55">
        <v>11159559000</v>
      </c>
      <c r="O952" s="55">
        <v>869026000</v>
      </c>
      <c r="P952" s="55">
        <v>0</v>
      </c>
      <c r="Q952" s="55">
        <v>869026000</v>
      </c>
      <c r="R952" s="55">
        <v>679421000</v>
      </c>
      <c r="S952" s="55">
        <v>0</v>
      </c>
      <c r="T952" s="55">
        <v>679421000</v>
      </c>
      <c r="U952" s="55">
        <v>279033000</v>
      </c>
      <c r="V952" s="55">
        <v>0</v>
      </c>
      <c r="W952" s="55">
        <v>279033000</v>
      </c>
      <c r="X952" s="55">
        <v>1484726000</v>
      </c>
      <c r="Y952" s="55">
        <v>0</v>
      </c>
      <c r="Z952" s="55">
        <v>1484726000</v>
      </c>
      <c r="AA952" s="55">
        <v>339433000</v>
      </c>
      <c r="AB952" s="55">
        <v>0</v>
      </c>
      <c r="AC952" s="55">
        <v>339433000</v>
      </c>
      <c r="AD952" s="55">
        <v>1545790000</v>
      </c>
      <c r="AE952" s="55">
        <v>0</v>
      </c>
      <c r="AF952" s="55">
        <v>1545790000</v>
      </c>
      <c r="AJ952" s="55">
        <v>3401532</v>
      </c>
      <c r="AK952" s="55">
        <v>761340</v>
      </c>
      <c r="AL952" s="55">
        <v>44932</v>
      </c>
      <c r="AM952" s="55">
        <v>775</v>
      </c>
      <c r="AN952" s="55">
        <v>2567850</v>
      </c>
      <c r="AO952" s="55">
        <v>2092500</v>
      </c>
      <c r="AQ952" s="55">
        <v>31662406558140</v>
      </c>
      <c r="AR952" s="55">
        <v>103748088000</v>
      </c>
      <c r="AS952" s="55">
        <v>36895342000</v>
      </c>
      <c r="AT952" s="55">
        <v>150467637000</v>
      </c>
      <c r="AU952" s="55">
        <f t="shared" si="766"/>
        <v>39487742</v>
      </c>
      <c r="AV952" s="99">
        <f t="shared" si="767"/>
        <v>27358800990.595997</v>
      </c>
    </row>
    <row r="953" spans="1:48">
      <c r="A953" s="92">
        <v>45071</v>
      </c>
      <c r="B953" s="55">
        <v>118504485000</v>
      </c>
      <c r="C953" s="55">
        <v>10570675000</v>
      </c>
      <c r="D953" s="55">
        <v>0</v>
      </c>
      <c r="E953" s="55">
        <v>0</v>
      </c>
      <c r="F953" s="55">
        <v>129075160000</v>
      </c>
      <c r="G953" s="55">
        <v>34850293</v>
      </c>
      <c r="H953" s="55">
        <v>13865990000</v>
      </c>
      <c r="I953" s="55">
        <v>1809500000</v>
      </c>
      <c r="J953" s="55">
        <v>15675490000</v>
      </c>
      <c r="L953" s="55">
        <v>175450000</v>
      </c>
      <c r="M953" s="55">
        <v>33337500000</v>
      </c>
      <c r="N953" s="55">
        <v>33512950000</v>
      </c>
      <c r="O953" s="55">
        <v>27599000</v>
      </c>
      <c r="P953" s="55">
        <v>0</v>
      </c>
      <c r="Q953" s="55">
        <v>27599000</v>
      </c>
      <c r="R953" s="55">
        <v>700986000</v>
      </c>
      <c r="S953" s="55">
        <v>0</v>
      </c>
      <c r="T953" s="55">
        <v>700986000</v>
      </c>
      <c r="U953" s="55">
        <v>11786000</v>
      </c>
      <c r="V953" s="55">
        <v>0</v>
      </c>
      <c r="W953" s="55">
        <v>11786000</v>
      </c>
      <c r="X953" s="55">
        <v>1594599000</v>
      </c>
      <c r="Y953" s="55">
        <v>6923400000</v>
      </c>
      <c r="Z953" s="55">
        <v>8517999000</v>
      </c>
      <c r="AA953" s="55">
        <v>1697389000</v>
      </c>
      <c r="AB953" s="55">
        <v>0</v>
      </c>
      <c r="AC953" s="55">
        <v>1697389000</v>
      </c>
      <c r="AD953" s="55">
        <v>1385420000</v>
      </c>
      <c r="AE953" s="55">
        <v>0</v>
      </c>
      <c r="AF953" s="55">
        <v>1385420000</v>
      </c>
      <c r="AJ953" s="55">
        <v>9674268</v>
      </c>
      <c r="AK953" s="55">
        <v>529530</v>
      </c>
      <c r="AL953" s="55">
        <v>44933</v>
      </c>
      <c r="AM953" s="55">
        <v>1399</v>
      </c>
      <c r="AN953" s="55">
        <v>5951700</v>
      </c>
      <c r="AO953" s="55">
        <v>3777300</v>
      </c>
      <c r="AQ953" s="55">
        <v>28095462556950</v>
      </c>
      <c r="AR953" s="55">
        <v>205797030000</v>
      </c>
      <c r="AS953" s="55">
        <v>71524199000</v>
      </c>
      <c r="AT953" s="55">
        <v>200599359000</v>
      </c>
      <c r="AU953" s="55">
        <f t="shared" si="766"/>
        <v>54783091</v>
      </c>
      <c r="AV953" s="99">
        <f t="shared" si="767"/>
        <v>27413584081.595997</v>
      </c>
    </row>
    <row r="954" spans="1:48">
      <c r="A954" s="92">
        <v>45072</v>
      </c>
      <c r="B954" s="55">
        <v>32072820000</v>
      </c>
      <c r="C954" s="55">
        <v>11350093000</v>
      </c>
      <c r="D954" s="55">
        <v>0</v>
      </c>
      <c r="E954" s="55">
        <v>0</v>
      </c>
      <c r="F954" s="55">
        <v>43422913000</v>
      </c>
      <c r="G954" s="55">
        <v>11724187</v>
      </c>
      <c r="H954" s="55">
        <v>61363000</v>
      </c>
      <c r="I954" s="55">
        <v>7238800000</v>
      </c>
      <c r="J954" s="55">
        <v>7300163000</v>
      </c>
      <c r="L954" s="55">
        <v>3915518000</v>
      </c>
      <c r="M954" s="55">
        <v>24500000000</v>
      </c>
      <c r="N954" s="55">
        <v>28415518000</v>
      </c>
      <c r="O954" s="55">
        <v>144785000</v>
      </c>
      <c r="P954" s="55">
        <v>0</v>
      </c>
      <c r="Q954" s="55">
        <v>144785000</v>
      </c>
      <c r="R954" s="55">
        <v>530072000</v>
      </c>
      <c r="S954" s="55">
        <v>0</v>
      </c>
      <c r="T954" s="55">
        <v>530072000</v>
      </c>
      <c r="U954" s="55">
        <v>110818000</v>
      </c>
      <c r="V954" s="55">
        <v>0</v>
      </c>
      <c r="W954" s="55">
        <v>110818000</v>
      </c>
      <c r="X954" s="55">
        <v>2275801000</v>
      </c>
      <c r="Y954" s="55">
        <v>0</v>
      </c>
      <c r="Z954" s="55">
        <v>2275801000</v>
      </c>
      <c r="AA954" s="55">
        <v>378766000</v>
      </c>
      <c r="AB954" s="55">
        <v>0</v>
      </c>
      <c r="AC954" s="55">
        <v>378766000</v>
      </c>
      <c r="AD954" s="55">
        <v>2130891000</v>
      </c>
      <c r="AE954" s="55">
        <v>0</v>
      </c>
      <c r="AF954" s="55">
        <v>2130891000</v>
      </c>
      <c r="AJ954" s="55">
        <v>6744170</v>
      </c>
      <c r="AK954" s="55">
        <v>916890</v>
      </c>
      <c r="AL954" s="55">
        <v>44929</v>
      </c>
      <c r="AM954" s="55">
        <v>368</v>
      </c>
      <c r="AN954" s="55">
        <v>18069300</v>
      </c>
      <c r="AO954" s="55">
        <v>993600</v>
      </c>
      <c r="AQ954" s="55">
        <v>26415754551790</v>
      </c>
      <c r="AR954" s="55">
        <v>131660976000</v>
      </c>
      <c r="AS954" s="55">
        <v>51942574000</v>
      </c>
      <c r="AT954" s="55">
        <v>95365487000</v>
      </c>
      <c r="AU954" s="55">
        <f t="shared" si="766"/>
        <v>38448147</v>
      </c>
      <c r="AV954" s="99">
        <f t="shared" si="767"/>
        <v>27452032228.595997</v>
      </c>
    </row>
    <row r="955" spans="1:48">
      <c r="A955" s="92">
        <v>45075</v>
      </c>
      <c r="B955" s="55">
        <v>52858820000</v>
      </c>
      <c r="C955" s="55">
        <v>30978679100</v>
      </c>
      <c r="D955" s="55">
        <v>0</v>
      </c>
      <c r="E955" s="55">
        <v>0</v>
      </c>
      <c r="F955" s="55">
        <v>83837499100</v>
      </c>
      <c r="G955" s="55">
        <v>22636125</v>
      </c>
      <c r="H955" s="55">
        <v>2067721000</v>
      </c>
      <c r="I955" s="55">
        <v>12723900000</v>
      </c>
      <c r="J955" s="55">
        <v>14791621000</v>
      </c>
      <c r="L955" s="55">
        <v>1164457000</v>
      </c>
      <c r="M955" s="55">
        <v>13443000000</v>
      </c>
      <c r="N955" s="55">
        <v>14607457000</v>
      </c>
      <c r="O955" s="55">
        <v>1011846000</v>
      </c>
      <c r="P955" s="55">
        <v>0</v>
      </c>
      <c r="Q955" s="55">
        <v>1011846000</v>
      </c>
      <c r="R955" s="55">
        <v>437624000</v>
      </c>
      <c r="S955" s="55">
        <v>0</v>
      </c>
      <c r="T955" s="55">
        <v>437624000</v>
      </c>
      <c r="U955" s="55">
        <v>306423000</v>
      </c>
      <c r="V955" s="55">
        <v>0</v>
      </c>
      <c r="W955" s="55">
        <v>306423000</v>
      </c>
      <c r="X955" s="55">
        <v>343916000</v>
      </c>
      <c r="Y955" s="55">
        <v>0</v>
      </c>
      <c r="Z955" s="55">
        <v>343916000</v>
      </c>
      <c r="AA955" s="55">
        <v>513556000</v>
      </c>
      <c r="AB955" s="55">
        <v>0</v>
      </c>
      <c r="AC955" s="55">
        <v>513556000</v>
      </c>
      <c r="AD955" s="55">
        <v>460640000</v>
      </c>
      <c r="AE955" s="55">
        <v>0</v>
      </c>
      <c r="AF955" s="55">
        <v>460640000</v>
      </c>
      <c r="AJ955" s="55">
        <v>5391110</v>
      </c>
      <c r="AK955" s="55">
        <v>233160</v>
      </c>
      <c r="AL955" s="55">
        <v>44930</v>
      </c>
      <c r="AM955" s="55">
        <v>412</v>
      </c>
      <c r="AN955" s="55">
        <v>7038000</v>
      </c>
      <c r="AO955" s="55">
        <v>1112400</v>
      </c>
      <c r="AQ955" s="55">
        <v>32486074297550</v>
      </c>
      <c r="AR955" s="55">
        <v>78181804000</v>
      </c>
      <c r="AS955" s="55">
        <v>59850843000</v>
      </c>
      <c r="AT955" s="55">
        <v>143688342100</v>
      </c>
      <c r="AU955" s="55">
        <f t="shared" si="766"/>
        <v>36410795</v>
      </c>
      <c r="AV955" s="99">
        <f t="shared" si="767"/>
        <v>27488443023.595997</v>
      </c>
    </row>
    <row r="956" spans="1:48">
      <c r="A956" s="92">
        <v>45076</v>
      </c>
      <c r="B956" s="55">
        <v>55940678000</v>
      </c>
      <c r="C956" s="55">
        <v>17152050000</v>
      </c>
      <c r="D956" s="55">
        <v>0</v>
      </c>
      <c r="E956" s="55">
        <v>0</v>
      </c>
      <c r="F956" s="55">
        <v>73092728000</v>
      </c>
      <c r="G956" s="55">
        <v>19735037</v>
      </c>
      <c r="H956" s="55">
        <v>4910402000</v>
      </c>
      <c r="I956" s="55">
        <v>9147000000</v>
      </c>
      <c r="J956" s="55">
        <v>14057402000</v>
      </c>
      <c r="L956" s="55">
        <v>204656000</v>
      </c>
      <c r="M956" s="55">
        <v>63084000000</v>
      </c>
      <c r="N956" s="55">
        <v>63288656000</v>
      </c>
      <c r="O956" s="55">
        <v>2214927000</v>
      </c>
      <c r="P956" s="55">
        <v>0</v>
      </c>
      <c r="Q956" s="55">
        <v>2214927000</v>
      </c>
      <c r="R956" s="55">
        <v>628088000</v>
      </c>
      <c r="S956" s="55">
        <v>0</v>
      </c>
      <c r="T956" s="55">
        <v>628088000</v>
      </c>
      <c r="U956" s="55">
        <v>43585000</v>
      </c>
      <c r="V956" s="55">
        <v>0</v>
      </c>
      <c r="W956" s="55">
        <v>43585000</v>
      </c>
      <c r="X956" s="55">
        <v>474101000</v>
      </c>
      <c r="Y956" s="55">
        <v>0</v>
      </c>
      <c r="Z956" s="55">
        <v>474101000</v>
      </c>
      <c r="AA956" s="55">
        <v>2583000</v>
      </c>
      <c r="AB956" s="55">
        <v>0</v>
      </c>
      <c r="AC956" s="55">
        <v>2583000</v>
      </c>
      <c r="AD956" s="55">
        <v>461620000</v>
      </c>
      <c r="AE956" s="55">
        <v>0</v>
      </c>
      <c r="AF956" s="55">
        <v>461620000</v>
      </c>
      <c r="AJ956" s="55">
        <v>13967096</v>
      </c>
      <c r="AK956" s="55">
        <v>434130</v>
      </c>
      <c r="AL956" s="55">
        <v>44931</v>
      </c>
      <c r="AM956" s="55">
        <v>1168</v>
      </c>
      <c r="AN956" s="55">
        <v>8715900</v>
      </c>
      <c r="AO956" s="55">
        <v>3153600</v>
      </c>
      <c r="AQ956" s="55">
        <v>38488668443952</v>
      </c>
      <c r="AR956" s="55">
        <v>249300530000</v>
      </c>
      <c r="AS956" s="55">
        <v>154609082000</v>
      </c>
      <c r="AT956" s="55">
        <v>227701810000</v>
      </c>
      <c r="AU956" s="55">
        <f t="shared" si="766"/>
        <v>46005763</v>
      </c>
      <c r="AV956" s="99">
        <f t="shared" si="767"/>
        <v>27534448786.595997</v>
      </c>
    </row>
    <row r="957" spans="1:48">
      <c r="A957" s="92">
        <v>45077</v>
      </c>
      <c r="B957" s="55">
        <v>25712090000</v>
      </c>
      <c r="C957" s="55">
        <v>0</v>
      </c>
      <c r="D957" s="55">
        <v>0</v>
      </c>
      <c r="E957" s="55">
        <v>0</v>
      </c>
      <c r="F957" s="55">
        <v>25712090000</v>
      </c>
      <c r="G957" s="55">
        <v>6942264</v>
      </c>
      <c r="H957" s="55">
        <v>1883112000</v>
      </c>
      <c r="I957" s="55">
        <v>5471400000</v>
      </c>
      <c r="J957" s="55">
        <v>7354512000</v>
      </c>
      <c r="L957" s="55">
        <v>5715249000</v>
      </c>
      <c r="M957" s="55">
        <v>29274000000</v>
      </c>
      <c r="N957" s="55">
        <v>34989249000</v>
      </c>
      <c r="O957" s="55">
        <v>19785000</v>
      </c>
      <c r="P957" s="55">
        <v>0</v>
      </c>
      <c r="Q957" s="55">
        <v>19785000</v>
      </c>
      <c r="R957" s="55">
        <v>739048000</v>
      </c>
      <c r="S957" s="55">
        <v>0</v>
      </c>
      <c r="T957" s="55">
        <v>739048000</v>
      </c>
      <c r="U957" s="55">
        <v>30349000</v>
      </c>
      <c r="V957" s="55">
        <v>0</v>
      </c>
      <c r="W957" s="55">
        <v>30349000</v>
      </c>
      <c r="X957" s="55">
        <v>348803000</v>
      </c>
      <c r="Y957" s="55">
        <v>0</v>
      </c>
      <c r="Z957" s="55">
        <v>348803000</v>
      </c>
      <c r="AA957" s="55">
        <v>56359000</v>
      </c>
      <c r="AB957" s="55">
        <v>0</v>
      </c>
      <c r="AC957" s="55">
        <v>56359000</v>
      </c>
      <c r="AD957" s="55">
        <v>454524000</v>
      </c>
      <c r="AE957" s="55">
        <v>0</v>
      </c>
      <c r="AF957" s="55">
        <v>454524000</v>
      </c>
      <c r="AJ957" s="55">
        <v>7252873</v>
      </c>
      <c r="AK957" s="55">
        <v>474030</v>
      </c>
      <c r="AL957" s="55">
        <v>44932</v>
      </c>
      <c r="AM957" s="55">
        <v>396</v>
      </c>
      <c r="AN957" s="55">
        <v>8399700</v>
      </c>
      <c r="AO957" s="55">
        <v>1069200</v>
      </c>
      <c r="AP957" s="55">
        <v>119281825</v>
      </c>
      <c r="AQ957" s="55">
        <v>38038207015594</v>
      </c>
      <c r="AR957" s="55">
        <v>112825756000</v>
      </c>
      <c r="AS957" s="55">
        <v>79939131570</v>
      </c>
      <c r="AT957" s="55">
        <v>105651221570</v>
      </c>
      <c r="AU957" s="55">
        <f t="shared" si="766"/>
        <v>143419892</v>
      </c>
      <c r="AV957" s="99">
        <f t="shared" si="767"/>
        <v>27677868678.595997</v>
      </c>
    </row>
    <row r="958" spans="1:48">
      <c r="A958" s="92">
        <v>45078</v>
      </c>
      <c r="B958" s="55">
        <v>43735925000</v>
      </c>
      <c r="C958" s="55">
        <v>32939446200</v>
      </c>
      <c r="D958" s="55">
        <v>0</v>
      </c>
      <c r="E958" s="55">
        <v>0</v>
      </c>
      <c r="F958" s="55">
        <v>76675371200</v>
      </c>
      <c r="G958" s="55">
        <v>20702350</v>
      </c>
      <c r="H958" s="55">
        <v>1168589000</v>
      </c>
      <c r="I958" s="55">
        <v>3641300000</v>
      </c>
      <c r="J958" s="55">
        <v>4809889000</v>
      </c>
      <c r="L958" s="55">
        <v>5128376000</v>
      </c>
      <c r="M958" s="55">
        <v>22538000000</v>
      </c>
      <c r="N958" s="55">
        <v>27666376000</v>
      </c>
      <c r="O958" s="55">
        <v>2244306000</v>
      </c>
      <c r="P958" s="55">
        <v>1318400000</v>
      </c>
      <c r="Q958" s="55">
        <v>3562706000</v>
      </c>
      <c r="R958" s="55">
        <v>1084317000</v>
      </c>
      <c r="S958" s="55">
        <v>0</v>
      </c>
      <c r="T958" s="55">
        <v>1084317000</v>
      </c>
      <c r="U958" s="55">
        <v>82701000</v>
      </c>
      <c r="V958" s="55">
        <v>0</v>
      </c>
      <c r="W958" s="55">
        <v>82701000</v>
      </c>
      <c r="X958" s="55">
        <v>343387000</v>
      </c>
      <c r="Y958" s="55">
        <v>0</v>
      </c>
      <c r="Z958" s="55">
        <v>343387000</v>
      </c>
      <c r="AA958" s="55">
        <v>198429000</v>
      </c>
      <c r="AB958" s="55">
        <v>2884530000</v>
      </c>
      <c r="AC958" s="55">
        <v>3082959000</v>
      </c>
      <c r="AD958" s="55">
        <v>454560000</v>
      </c>
      <c r="AE958" s="55">
        <v>0</v>
      </c>
      <c r="AF958" s="55">
        <v>454560000</v>
      </c>
      <c r="AJ958" s="55">
        <v>6624905</v>
      </c>
      <c r="AK958" s="55">
        <v>693930</v>
      </c>
      <c r="AL958" s="55">
        <v>44933</v>
      </c>
      <c r="AM958" s="55">
        <v>630</v>
      </c>
      <c r="AN958" s="55">
        <v>8782200</v>
      </c>
      <c r="AO958" s="55">
        <v>1701000</v>
      </c>
      <c r="AQ958" s="55">
        <v>33066817314888</v>
      </c>
      <c r="AR958" s="55">
        <v>106556470000</v>
      </c>
      <c r="AS958" s="55">
        <v>68464455000</v>
      </c>
      <c r="AT958" s="55">
        <v>145139826200</v>
      </c>
      <c r="AU958" s="55">
        <f t="shared" si="766"/>
        <v>38504385</v>
      </c>
      <c r="AV958" s="99">
        <f t="shared" si="767"/>
        <v>27716373063.595997</v>
      </c>
    </row>
    <row r="959" spans="1:48">
      <c r="A959" s="92">
        <v>45079</v>
      </c>
      <c r="B959" s="55">
        <v>77772280000</v>
      </c>
      <c r="C959" s="55">
        <v>31544998000</v>
      </c>
      <c r="D959" s="55">
        <v>0</v>
      </c>
      <c r="E959" s="55">
        <v>0</v>
      </c>
      <c r="F959" s="55">
        <v>109317278000</v>
      </c>
      <c r="G959" s="55">
        <v>29515665</v>
      </c>
      <c r="H959" s="55">
        <v>652176000</v>
      </c>
      <c r="I959" s="55">
        <v>20434200000</v>
      </c>
      <c r="J959" s="55">
        <v>21086376000</v>
      </c>
      <c r="L959" s="55">
        <v>7926145000</v>
      </c>
      <c r="M959" s="55">
        <v>16150500000</v>
      </c>
      <c r="N959" s="55">
        <v>24076645000</v>
      </c>
      <c r="O959" s="55">
        <v>30363000</v>
      </c>
      <c r="P959" s="55">
        <v>0</v>
      </c>
      <c r="Q959" s="55">
        <v>30363000</v>
      </c>
      <c r="R959" s="55">
        <v>940036000</v>
      </c>
      <c r="S959" s="55">
        <v>0</v>
      </c>
      <c r="T959" s="55">
        <v>940036000</v>
      </c>
      <c r="U959" s="55">
        <v>291323000</v>
      </c>
      <c r="V959" s="55">
        <v>0</v>
      </c>
      <c r="W959" s="55">
        <v>291323000</v>
      </c>
      <c r="X959" s="55">
        <v>816637000</v>
      </c>
      <c r="Y959" s="55">
        <v>0</v>
      </c>
      <c r="Z959" s="55">
        <v>816637000</v>
      </c>
      <c r="AA959" s="55">
        <v>73813000</v>
      </c>
      <c r="AB959" s="55">
        <v>0</v>
      </c>
      <c r="AC959" s="55">
        <v>73813000</v>
      </c>
      <c r="AD959" s="55">
        <v>860550000</v>
      </c>
      <c r="AE959" s="55">
        <v>1752120000</v>
      </c>
      <c r="AF959" s="55">
        <v>2612670000</v>
      </c>
      <c r="AG959" s="55">
        <v>0</v>
      </c>
      <c r="AH959" s="55">
        <v>0</v>
      </c>
      <c r="AI959" s="55">
        <v>0</v>
      </c>
      <c r="AJ959" s="55">
        <v>8152460</v>
      </c>
      <c r="AK959" s="55">
        <v>682200</v>
      </c>
      <c r="AL959" s="55">
        <v>44929</v>
      </c>
      <c r="AM959" s="55">
        <v>597</v>
      </c>
      <c r="AN959" s="55">
        <v>23018850</v>
      </c>
      <c r="AO959" s="55">
        <v>1611900</v>
      </c>
      <c r="AQ959" s="55">
        <v>42376889036558</v>
      </c>
      <c r="AR959" s="55">
        <v>130356394000</v>
      </c>
      <c r="AS959" s="55">
        <v>88039483000</v>
      </c>
      <c r="AT959" s="55">
        <v>197356761000</v>
      </c>
      <c r="AU959" s="55">
        <f t="shared" ref="AU959:AU978" si="768">G959+AJ959+AK959+AN959+AO959+AP959</f>
        <v>62981075</v>
      </c>
      <c r="AV959" s="99">
        <f t="shared" ref="AV959:AV978" si="769">AV958+AU959</f>
        <v>27779354138.595997</v>
      </c>
    </row>
    <row r="960" spans="1:48">
      <c r="A960" s="92">
        <v>45082</v>
      </c>
      <c r="B960" s="55">
        <v>53421785000</v>
      </c>
      <c r="C960" s="55">
        <v>14524761800</v>
      </c>
      <c r="D960" s="55">
        <v>0</v>
      </c>
      <c r="E960" s="55">
        <v>0</v>
      </c>
      <c r="F960" s="55">
        <v>67946546800</v>
      </c>
      <c r="G960" s="55">
        <v>18345568</v>
      </c>
      <c r="H960" s="55">
        <v>2129554000</v>
      </c>
      <c r="I960" s="55">
        <v>11229000000</v>
      </c>
      <c r="J960" s="55">
        <v>13358554000</v>
      </c>
      <c r="L960" s="55">
        <v>2302186000</v>
      </c>
      <c r="M960" s="55">
        <v>0</v>
      </c>
      <c r="N960" s="55">
        <v>2302186000</v>
      </c>
      <c r="O960" s="55">
        <v>808315000</v>
      </c>
      <c r="P960" s="55">
        <v>2753600000</v>
      </c>
      <c r="Q960" s="55">
        <v>3561915000</v>
      </c>
      <c r="R960" s="55">
        <v>677282000</v>
      </c>
      <c r="S960" s="55">
        <v>0</v>
      </c>
      <c r="T960" s="55">
        <v>677282000</v>
      </c>
      <c r="U960" s="55">
        <v>132174000</v>
      </c>
      <c r="V960" s="55">
        <v>0</v>
      </c>
      <c r="W960" s="55">
        <v>132174000</v>
      </c>
      <c r="X960" s="55">
        <v>358771000</v>
      </c>
      <c r="Y960" s="55">
        <v>0</v>
      </c>
      <c r="Z960" s="55">
        <v>358771000</v>
      </c>
      <c r="AA960" s="55">
        <v>55536000</v>
      </c>
      <c r="AB960" s="55">
        <v>1880760000</v>
      </c>
      <c r="AC960" s="55">
        <v>1936296000</v>
      </c>
      <c r="AD960" s="55">
        <v>472320000</v>
      </c>
      <c r="AE960" s="55">
        <v>0</v>
      </c>
      <c r="AF960" s="55">
        <v>472320000</v>
      </c>
      <c r="AG960" s="55">
        <v>0</v>
      </c>
      <c r="AH960" s="55">
        <v>0</v>
      </c>
      <c r="AI960" s="55">
        <v>0</v>
      </c>
      <c r="AJ960" s="55">
        <v>3604508</v>
      </c>
      <c r="AK960" s="55">
        <v>1253430</v>
      </c>
      <c r="AL960" s="55">
        <v>44930</v>
      </c>
      <c r="AM960" s="55">
        <v>598</v>
      </c>
      <c r="AN960" s="55">
        <v>6153150</v>
      </c>
      <c r="AO960" s="55">
        <v>1614600</v>
      </c>
      <c r="AQ960" s="55">
        <v>40182378813964</v>
      </c>
      <c r="AR960" s="55">
        <v>112260388000</v>
      </c>
      <c r="AS960" s="55">
        <v>35529479000</v>
      </c>
      <c r="AT960" s="55">
        <v>103476025800</v>
      </c>
      <c r="AU960" s="55">
        <f t="shared" si="768"/>
        <v>30971256</v>
      </c>
      <c r="AV960" s="99">
        <f t="shared" si="769"/>
        <v>27810325394.595997</v>
      </c>
    </row>
    <row r="961" spans="1:48">
      <c r="A961" s="92">
        <v>45083</v>
      </c>
      <c r="B961" s="55">
        <v>37195335000</v>
      </c>
      <c r="C961" s="55">
        <v>0</v>
      </c>
      <c r="D961" s="55">
        <v>0</v>
      </c>
      <c r="E961" s="55">
        <v>0</v>
      </c>
      <c r="F961" s="55">
        <v>37195335000</v>
      </c>
      <c r="G961" s="55">
        <v>10042740</v>
      </c>
      <c r="H961" s="55">
        <v>65574000</v>
      </c>
      <c r="I961" s="55">
        <v>11242700000</v>
      </c>
      <c r="J961" s="55">
        <v>11308274000</v>
      </c>
      <c r="L961" s="55">
        <v>1916637000</v>
      </c>
      <c r="M961" s="55">
        <v>0</v>
      </c>
      <c r="N961" s="55">
        <v>1916637000</v>
      </c>
      <c r="O961" s="55">
        <v>0</v>
      </c>
      <c r="P961" s="55">
        <v>0</v>
      </c>
      <c r="Q961" s="55">
        <v>0</v>
      </c>
      <c r="R961" s="55">
        <v>528420000</v>
      </c>
      <c r="S961" s="55">
        <v>282400000</v>
      </c>
      <c r="T961" s="55">
        <v>810820000</v>
      </c>
      <c r="U961" s="55">
        <v>80446000</v>
      </c>
      <c r="V961" s="55">
        <v>0</v>
      </c>
      <c r="W961" s="55">
        <v>80446000</v>
      </c>
      <c r="X961" s="55">
        <v>582498000</v>
      </c>
      <c r="Y961" s="55">
        <v>180250000</v>
      </c>
      <c r="Z961" s="55">
        <v>762748000</v>
      </c>
      <c r="AA961" s="55">
        <v>15996000</v>
      </c>
      <c r="AB961" s="55">
        <v>0</v>
      </c>
      <c r="AC961" s="55">
        <v>15996000</v>
      </c>
      <c r="AD961" s="55">
        <v>992000000</v>
      </c>
      <c r="AE961" s="55">
        <v>248000000</v>
      </c>
      <c r="AF961" s="55">
        <v>1240000000</v>
      </c>
      <c r="AG961" s="55">
        <v>0</v>
      </c>
      <c r="AH961" s="55">
        <v>0</v>
      </c>
      <c r="AI961" s="55">
        <v>0</v>
      </c>
      <c r="AJ961" s="55">
        <v>2603213</v>
      </c>
      <c r="AK961" s="55">
        <v>503520</v>
      </c>
      <c r="AL961" s="55">
        <v>44931</v>
      </c>
      <c r="AM961" s="55">
        <v>247</v>
      </c>
      <c r="AN961" s="55">
        <v>6298500</v>
      </c>
      <c r="AO961" s="55">
        <v>666900</v>
      </c>
      <c r="AQ961" s="55">
        <v>37329732092166</v>
      </c>
      <c r="AR961" s="55">
        <v>177954944000</v>
      </c>
      <c r="AS961" s="55">
        <v>28847224000</v>
      </c>
      <c r="AT961" s="55">
        <v>66042559000</v>
      </c>
      <c r="AU961" s="55">
        <f t="shared" si="768"/>
        <v>20114873</v>
      </c>
      <c r="AV961" s="99">
        <f t="shared" si="769"/>
        <v>27830440267.595997</v>
      </c>
    </row>
    <row r="962" spans="1:48">
      <c r="A962" s="92">
        <v>45084</v>
      </c>
      <c r="B962" s="55">
        <v>67877040000</v>
      </c>
      <c r="C962" s="55">
        <v>28457508600</v>
      </c>
      <c r="D962" s="55">
        <v>5425630000</v>
      </c>
      <c r="E962" s="55">
        <v>0</v>
      </c>
      <c r="F962" s="55">
        <v>101760178600</v>
      </c>
      <c r="G962" s="55">
        <v>27475248</v>
      </c>
      <c r="H962" s="55">
        <v>316584000</v>
      </c>
      <c r="I962" s="55">
        <v>13252000000</v>
      </c>
      <c r="J962" s="55">
        <v>13568584000</v>
      </c>
      <c r="L962" s="55">
        <v>4572476000</v>
      </c>
      <c r="M962" s="55">
        <v>4692000000</v>
      </c>
      <c r="N962" s="55">
        <v>9264476000</v>
      </c>
      <c r="O962" s="55">
        <v>3662674000</v>
      </c>
      <c r="P962" s="55">
        <v>0</v>
      </c>
      <c r="Q962" s="55">
        <v>3662674000</v>
      </c>
      <c r="R962" s="55">
        <v>854945000</v>
      </c>
      <c r="S962" s="55">
        <v>0</v>
      </c>
      <c r="T962" s="55">
        <v>854945000</v>
      </c>
      <c r="U962" s="55">
        <v>146839000</v>
      </c>
      <c r="V962" s="55">
        <v>0</v>
      </c>
      <c r="W962" s="55">
        <v>146839000</v>
      </c>
      <c r="X962" s="55">
        <v>412860000</v>
      </c>
      <c r="Y962" s="55">
        <v>2170500000</v>
      </c>
      <c r="Z962" s="55">
        <v>2583360000</v>
      </c>
      <c r="AA962" s="55">
        <v>0</v>
      </c>
      <c r="AB962" s="55">
        <v>0</v>
      </c>
      <c r="AC962" s="55">
        <v>0</v>
      </c>
      <c r="AD962" s="55">
        <v>498485000</v>
      </c>
      <c r="AE962" s="55">
        <v>0</v>
      </c>
      <c r="AF962" s="55">
        <v>498485000</v>
      </c>
      <c r="AG962" s="55">
        <v>0</v>
      </c>
      <c r="AH962" s="55">
        <v>0</v>
      </c>
      <c r="AI962" s="55">
        <v>0</v>
      </c>
      <c r="AJ962" s="55">
        <v>4750815</v>
      </c>
      <c r="AK962" s="55">
        <v>832830</v>
      </c>
      <c r="AL962" s="55">
        <v>44932</v>
      </c>
      <c r="AM962" s="55">
        <v>805</v>
      </c>
      <c r="AN962" s="55">
        <v>4388550</v>
      </c>
      <c r="AO962" s="55">
        <v>2173500</v>
      </c>
      <c r="AQ962" s="55">
        <v>41440652390168</v>
      </c>
      <c r="AR962" s="55">
        <v>129454602000</v>
      </c>
      <c r="AS962" s="55">
        <v>51834863000</v>
      </c>
      <c r="AT962" s="55">
        <v>153595041600</v>
      </c>
      <c r="AU962" s="55">
        <f t="shared" si="768"/>
        <v>39620943</v>
      </c>
      <c r="AV962" s="99">
        <f t="shared" si="769"/>
        <v>27870061210.595997</v>
      </c>
    </row>
    <row r="963" spans="1:48">
      <c r="A963" s="92">
        <v>45085</v>
      </c>
      <c r="B963" s="55">
        <v>35071895000</v>
      </c>
      <c r="C963" s="55">
        <v>12845179000</v>
      </c>
      <c r="D963" s="55">
        <v>0</v>
      </c>
      <c r="E963" s="55">
        <v>0</v>
      </c>
      <c r="F963" s="55">
        <v>47917074000</v>
      </c>
      <c r="G963" s="55">
        <v>12937610</v>
      </c>
      <c r="H963" s="55">
        <v>584387000</v>
      </c>
      <c r="I963" s="55">
        <v>0</v>
      </c>
      <c r="J963" s="55">
        <v>584387000</v>
      </c>
      <c r="L963" s="55">
        <v>15187142000</v>
      </c>
      <c r="M963" s="55">
        <v>51316000000</v>
      </c>
      <c r="N963" s="55">
        <v>66503142000</v>
      </c>
      <c r="O963" s="55">
        <v>164742000</v>
      </c>
      <c r="P963" s="55">
        <v>0</v>
      </c>
      <c r="Q963" s="55">
        <v>164742000</v>
      </c>
      <c r="R963" s="55">
        <v>744537000</v>
      </c>
      <c r="S963" s="55">
        <v>0</v>
      </c>
      <c r="T963" s="55">
        <v>744537000</v>
      </c>
      <c r="U963" s="55">
        <v>19012000</v>
      </c>
      <c r="V963" s="55">
        <v>0</v>
      </c>
      <c r="W963" s="55">
        <v>19012000</v>
      </c>
      <c r="X963" s="55">
        <v>466234000</v>
      </c>
      <c r="Y963" s="55">
        <v>0</v>
      </c>
      <c r="Z963" s="55">
        <v>466234000</v>
      </c>
      <c r="AA963" s="55">
        <v>907000</v>
      </c>
      <c r="AB963" s="55">
        <v>0</v>
      </c>
      <c r="AC963" s="55">
        <v>907000</v>
      </c>
      <c r="AD963" s="55">
        <v>494000000</v>
      </c>
      <c r="AE963" s="55">
        <v>0</v>
      </c>
      <c r="AF963" s="55">
        <v>494000000</v>
      </c>
      <c r="AG963" s="55">
        <v>0</v>
      </c>
      <c r="AH963" s="55">
        <v>0</v>
      </c>
      <c r="AI963" s="55">
        <v>0</v>
      </c>
      <c r="AJ963" s="55">
        <v>11144264</v>
      </c>
      <c r="AK963" s="55">
        <v>684390</v>
      </c>
      <c r="AL963" s="55">
        <v>44933</v>
      </c>
      <c r="AM963" s="55">
        <v>822</v>
      </c>
      <c r="AN963" s="55">
        <v>4276350</v>
      </c>
      <c r="AO963" s="55">
        <v>2219400</v>
      </c>
      <c r="AQ963" s="55">
        <v>54625693350570</v>
      </c>
      <c r="AR963" s="55">
        <v>216744238000</v>
      </c>
      <c r="AS963" s="55">
        <v>74969581000</v>
      </c>
      <c r="AT963" s="55">
        <v>122886655000</v>
      </c>
      <c r="AU963" s="55">
        <f t="shared" si="768"/>
        <v>31262014</v>
      </c>
      <c r="AV963" s="99">
        <f t="shared" si="769"/>
        <v>27901323224.595997</v>
      </c>
    </row>
    <row r="964" spans="1:48">
      <c r="A964" s="92">
        <v>45086</v>
      </c>
      <c r="B964" s="55">
        <v>28600056000</v>
      </c>
      <c r="C964" s="55">
        <v>0</v>
      </c>
      <c r="D964" s="55">
        <v>0</v>
      </c>
      <c r="E964" s="55">
        <v>0</v>
      </c>
      <c r="F964" s="55">
        <v>28600056000</v>
      </c>
      <c r="G964" s="55">
        <v>7722015</v>
      </c>
      <c r="H964" s="55">
        <v>91767000</v>
      </c>
      <c r="I964" s="55">
        <v>24395600000</v>
      </c>
      <c r="J964" s="55">
        <v>24487367000</v>
      </c>
      <c r="L964" s="55">
        <v>157424000</v>
      </c>
      <c r="M964" s="55">
        <v>9281000000</v>
      </c>
      <c r="N964" s="55">
        <v>9438424000</v>
      </c>
      <c r="O964" s="55">
        <v>0</v>
      </c>
      <c r="P964" s="55">
        <v>0</v>
      </c>
      <c r="Q964" s="55">
        <v>0</v>
      </c>
      <c r="R964" s="55">
        <v>1047884000</v>
      </c>
      <c r="S964" s="55">
        <v>0</v>
      </c>
      <c r="T964" s="55">
        <v>1047884000</v>
      </c>
      <c r="U964" s="55">
        <v>726300000</v>
      </c>
      <c r="V964" s="55">
        <v>0</v>
      </c>
      <c r="W964" s="55">
        <v>726300000</v>
      </c>
      <c r="X964" s="55">
        <v>363309000</v>
      </c>
      <c r="Y964" s="55">
        <v>0</v>
      </c>
      <c r="Z964" s="55">
        <v>363309000</v>
      </c>
      <c r="AA964" s="55">
        <v>199095000</v>
      </c>
      <c r="AB964" s="55">
        <v>1339800000</v>
      </c>
      <c r="AC964" s="55">
        <v>1538895000</v>
      </c>
      <c r="AD964" s="55">
        <v>521474000</v>
      </c>
      <c r="AE964" s="55">
        <v>0</v>
      </c>
      <c r="AF964" s="55">
        <v>521474000</v>
      </c>
      <c r="AG964" s="55">
        <v>0</v>
      </c>
      <c r="AH964" s="55">
        <v>0</v>
      </c>
      <c r="AI964" s="55">
        <v>0</v>
      </c>
      <c r="AJ964" s="55">
        <v>6638535</v>
      </c>
      <c r="AK964" s="55">
        <v>612570</v>
      </c>
      <c r="AL964" s="55">
        <v>44929</v>
      </c>
      <c r="AM964" s="55">
        <v>566</v>
      </c>
      <c r="AN964" s="55">
        <v>11054250</v>
      </c>
      <c r="AO964" s="55">
        <v>1528200</v>
      </c>
      <c r="AQ964" s="55">
        <v>116207342976516</v>
      </c>
      <c r="AR964" s="55">
        <v>128636768000</v>
      </c>
      <c r="AS964" s="55">
        <v>73080633000</v>
      </c>
      <c r="AT964" s="55">
        <v>101680689000</v>
      </c>
      <c r="AU964" s="55">
        <f t="shared" si="768"/>
        <v>27555570</v>
      </c>
      <c r="AV964" s="99">
        <f t="shared" si="769"/>
        <v>27928878794.595997</v>
      </c>
    </row>
    <row r="965" spans="1:48">
      <c r="A965" s="92">
        <v>45089</v>
      </c>
      <c r="B965" s="55">
        <v>73239520000</v>
      </c>
      <c r="C965" s="55">
        <v>15274295000</v>
      </c>
      <c r="D965" s="55">
        <v>0</v>
      </c>
      <c r="E965" s="55">
        <v>0</v>
      </c>
      <c r="F965" s="55">
        <v>88513815000</v>
      </c>
      <c r="G965" s="55">
        <v>23898730</v>
      </c>
      <c r="H965" s="55">
        <v>380587000</v>
      </c>
      <c r="I965" s="55">
        <v>24493800000</v>
      </c>
      <c r="J965" s="55">
        <v>24874387000</v>
      </c>
      <c r="L965" s="55">
        <v>4450426000</v>
      </c>
      <c r="M965" s="55">
        <v>4667500000</v>
      </c>
      <c r="N965" s="55">
        <v>9117926000</v>
      </c>
      <c r="O965" s="55">
        <v>59440000</v>
      </c>
      <c r="P965" s="55">
        <v>0</v>
      </c>
      <c r="Q965" s="55">
        <v>59440000</v>
      </c>
      <c r="R965" s="55">
        <v>779147000</v>
      </c>
      <c r="S965" s="55">
        <v>0</v>
      </c>
      <c r="T965" s="55">
        <v>779147000</v>
      </c>
      <c r="U965" s="55">
        <v>258540000</v>
      </c>
      <c r="V965" s="55">
        <v>0</v>
      </c>
      <c r="W965" s="55">
        <v>258540000</v>
      </c>
      <c r="X965" s="55">
        <v>355463000</v>
      </c>
      <c r="Y965" s="55">
        <v>718300000</v>
      </c>
      <c r="Z965" s="55">
        <v>1073763000</v>
      </c>
      <c r="AA965" s="55">
        <v>221865000</v>
      </c>
      <c r="AB965" s="55">
        <v>0</v>
      </c>
      <c r="AC965" s="55">
        <v>221865000</v>
      </c>
      <c r="AD965" s="55">
        <v>476465000</v>
      </c>
      <c r="AE965" s="55">
        <v>0</v>
      </c>
      <c r="AF965" s="55">
        <v>476465000</v>
      </c>
      <c r="AG965" s="55">
        <v>0</v>
      </c>
      <c r="AH965" s="55">
        <v>0</v>
      </c>
      <c r="AI965" s="55">
        <v>0</v>
      </c>
      <c r="AJ965" s="55">
        <v>6132377</v>
      </c>
      <c r="AK965" s="55">
        <v>1305120</v>
      </c>
      <c r="AL965" s="55">
        <v>44930</v>
      </c>
      <c r="AM965" s="55">
        <v>1568</v>
      </c>
      <c r="AN965" s="55">
        <v>3052350</v>
      </c>
      <c r="AO965" s="55">
        <v>4233600</v>
      </c>
      <c r="AQ965" s="55">
        <v>36200327580178</v>
      </c>
      <c r="AR965" s="55">
        <v>677780608000</v>
      </c>
      <c r="AS965" s="55">
        <v>68003573000</v>
      </c>
      <c r="AT965" s="55">
        <v>156517388000</v>
      </c>
      <c r="AU965" s="55">
        <f t="shared" si="768"/>
        <v>38622177</v>
      </c>
      <c r="AV965" s="99">
        <f t="shared" si="769"/>
        <v>27967500971.595997</v>
      </c>
    </row>
    <row r="966" spans="1:48">
      <c r="A966" s="92">
        <v>45090</v>
      </c>
      <c r="B966" s="55">
        <v>7382515000</v>
      </c>
      <c r="C966" s="55">
        <v>0</v>
      </c>
      <c r="D966" s="55">
        <v>0</v>
      </c>
      <c r="E966" s="55">
        <v>0</v>
      </c>
      <c r="F966" s="55">
        <v>7382515000</v>
      </c>
      <c r="G966" s="55">
        <v>1993279</v>
      </c>
      <c r="H966" s="55">
        <v>3465554000</v>
      </c>
      <c r="I966" s="55">
        <v>11421900000</v>
      </c>
      <c r="J966" s="55">
        <v>14887454000</v>
      </c>
      <c r="L966" s="55">
        <v>14300840000</v>
      </c>
      <c r="M966" s="55">
        <v>11811500000</v>
      </c>
      <c r="N966" s="55">
        <v>26112340000</v>
      </c>
      <c r="O966" s="55">
        <v>14455213000</v>
      </c>
      <c r="P966" s="55">
        <v>0</v>
      </c>
      <c r="Q966" s="55">
        <v>14455213000</v>
      </c>
      <c r="R966" s="55">
        <v>773979000</v>
      </c>
      <c r="S966" s="55">
        <v>0</v>
      </c>
      <c r="T966" s="55">
        <v>773979000</v>
      </c>
      <c r="U966" s="55">
        <v>27159000</v>
      </c>
      <c r="V966" s="55">
        <v>0</v>
      </c>
      <c r="W966" s="55">
        <v>27159000</v>
      </c>
      <c r="X966" s="55">
        <v>357384000</v>
      </c>
      <c r="Y966" s="55">
        <v>1458000000</v>
      </c>
      <c r="Z966" s="55">
        <v>1815384000</v>
      </c>
      <c r="AA966" s="55">
        <v>17319000</v>
      </c>
      <c r="AB966" s="55">
        <v>0</v>
      </c>
      <c r="AC966" s="55">
        <v>17319000</v>
      </c>
      <c r="AD966" s="55">
        <v>487500000</v>
      </c>
      <c r="AE966" s="55">
        <v>0</v>
      </c>
      <c r="AF966" s="55">
        <v>487500000</v>
      </c>
      <c r="AG966" s="55">
        <v>0</v>
      </c>
      <c r="AH966" s="55">
        <v>0</v>
      </c>
      <c r="AI966" s="55">
        <v>0</v>
      </c>
      <c r="AJ966" s="55">
        <v>8104026</v>
      </c>
      <c r="AK966" s="55">
        <v>285420</v>
      </c>
      <c r="AL966" s="55">
        <v>44931</v>
      </c>
      <c r="AM966" s="55">
        <v>3084</v>
      </c>
      <c r="AN966" s="55">
        <v>9769050</v>
      </c>
      <c r="AO966" s="55">
        <v>8326800</v>
      </c>
      <c r="AQ966" s="55">
        <v>40531736036380</v>
      </c>
      <c r="AR966" s="55">
        <v>219344126000</v>
      </c>
      <c r="AS966" s="55">
        <v>84533838000</v>
      </c>
      <c r="AT966" s="55">
        <v>91916353000</v>
      </c>
      <c r="AU966" s="55">
        <f t="shared" si="768"/>
        <v>28478575</v>
      </c>
      <c r="AV966" s="99">
        <f t="shared" si="769"/>
        <v>27995979546.595997</v>
      </c>
    </row>
    <row r="967" spans="1:48">
      <c r="A967" s="92">
        <v>45091</v>
      </c>
      <c r="B967" s="55">
        <v>97046927000</v>
      </c>
      <c r="C967" s="55">
        <v>8108255000</v>
      </c>
      <c r="D967" s="55">
        <v>0</v>
      </c>
      <c r="E967" s="55">
        <v>0</v>
      </c>
      <c r="F967" s="55">
        <v>105155182000</v>
      </c>
      <c r="G967" s="55">
        <v>28391899</v>
      </c>
      <c r="H967" s="55">
        <v>1918119000</v>
      </c>
      <c r="I967" s="55">
        <v>15346800000</v>
      </c>
      <c r="J967" s="55">
        <v>17264919000</v>
      </c>
      <c r="L967" s="55">
        <v>9739788000</v>
      </c>
      <c r="M967" s="55">
        <v>0</v>
      </c>
      <c r="N967" s="55">
        <v>9739788000</v>
      </c>
      <c r="O967" s="55">
        <v>4528326000</v>
      </c>
      <c r="P967" s="55">
        <v>0</v>
      </c>
      <c r="Q967" s="55">
        <v>4528326000</v>
      </c>
      <c r="R967" s="55">
        <v>616880000</v>
      </c>
      <c r="S967" s="55">
        <v>0</v>
      </c>
      <c r="T967" s="55">
        <v>616880000</v>
      </c>
      <c r="U967" s="55">
        <v>13707000</v>
      </c>
      <c r="V967" s="55">
        <v>0</v>
      </c>
      <c r="W967" s="55">
        <v>13707000</v>
      </c>
      <c r="X967" s="55">
        <v>349132000</v>
      </c>
      <c r="Y967" s="55">
        <v>0</v>
      </c>
      <c r="Z967" s="55">
        <v>349132000</v>
      </c>
      <c r="AA967" s="55">
        <v>127554000</v>
      </c>
      <c r="AB967" s="55">
        <v>0</v>
      </c>
      <c r="AC967" s="55">
        <v>127554000</v>
      </c>
      <c r="AD967" s="55">
        <v>482701000</v>
      </c>
      <c r="AE967" s="55">
        <v>0</v>
      </c>
      <c r="AF967" s="55">
        <v>482701000</v>
      </c>
      <c r="AG967" s="55">
        <v>0</v>
      </c>
      <c r="AH967" s="55">
        <v>0</v>
      </c>
      <c r="AI967" s="55">
        <v>0</v>
      </c>
      <c r="AJ967" s="55">
        <v>4682254</v>
      </c>
      <c r="AK967" s="55">
        <v>385830</v>
      </c>
      <c r="AL967" s="55">
        <v>44932</v>
      </c>
      <c r="AM967" s="55">
        <v>2873</v>
      </c>
      <c r="AN967" s="55">
        <v>13535400</v>
      </c>
      <c r="AO967" s="55">
        <v>7757100</v>
      </c>
      <c r="AQ967" s="55">
        <v>40050487072682</v>
      </c>
      <c r="AR967" s="55">
        <v>111388030000</v>
      </c>
      <c r="AS967" s="55">
        <v>49511383000</v>
      </c>
      <c r="AT967" s="55">
        <v>154666565000</v>
      </c>
      <c r="AU967" s="55">
        <f t="shared" si="768"/>
        <v>54752483</v>
      </c>
      <c r="AV967" s="99">
        <f t="shared" si="769"/>
        <v>28050732029.595997</v>
      </c>
    </row>
    <row r="968" spans="1:48">
      <c r="A968" s="92">
        <v>45092</v>
      </c>
      <c r="B968" s="55">
        <v>200975802000</v>
      </c>
      <c r="C968" s="55">
        <v>0</v>
      </c>
      <c r="D968" s="55">
        <v>0</v>
      </c>
      <c r="E968" s="55">
        <v>0</v>
      </c>
      <c r="F968" s="55">
        <v>200975802000</v>
      </c>
      <c r="G968" s="55">
        <v>54263467</v>
      </c>
      <c r="H968" s="55">
        <v>2642907000</v>
      </c>
      <c r="I968" s="55">
        <v>34131600000</v>
      </c>
      <c r="J968" s="55">
        <v>36774507000</v>
      </c>
      <c r="L968" s="55">
        <v>4535351000</v>
      </c>
      <c r="M968" s="55">
        <v>4694000000</v>
      </c>
      <c r="N968" s="55">
        <v>9229351000</v>
      </c>
      <c r="O968" s="55">
        <v>3643604000</v>
      </c>
      <c r="P968" s="55">
        <v>0</v>
      </c>
      <c r="Q968" s="55">
        <v>3643604000</v>
      </c>
      <c r="R968" s="55">
        <v>1304656000</v>
      </c>
      <c r="S968" s="55">
        <v>0</v>
      </c>
      <c r="T968" s="55">
        <v>1304656000</v>
      </c>
      <c r="U968" s="55">
        <v>139293000</v>
      </c>
      <c r="V968" s="55">
        <v>0</v>
      </c>
      <c r="W968" s="55">
        <v>139293000</v>
      </c>
      <c r="X968" s="55">
        <v>402180000</v>
      </c>
      <c r="Y968" s="55">
        <v>0</v>
      </c>
      <c r="Z968" s="55">
        <v>402180000</v>
      </c>
      <c r="AA968" s="55">
        <v>45830000</v>
      </c>
      <c r="AB968" s="55">
        <v>0</v>
      </c>
      <c r="AC968" s="55">
        <v>45830000</v>
      </c>
      <c r="AD968" s="55">
        <v>468500000</v>
      </c>
      <c r="AE968" s="55">
        <v>0</v>
      </c>
      <c r="AF968" s="55">
        <v>468500000</v>
      </c>
      <c r="AG968" s="55">
        <v>0</v>
      </c>
      <c r="AH968" s="55">
        <v>0</v>
      </c>
      <c r="AI968" s="55">
        <v>0</v>
      </c>
      <c r="AJ968" s="55">
        <v>8412299</v>
      </c>
      <c r="AK968" s="55">
        <v>228060</v>
      </c>
      <c r="AL968" s="55">
        <v>44933</v>
      </c>
      <c r="AM968" s="55">
        <v>1998</v>
      </c>
      <c r="AN968" s="55">
        <v>10052100</v>
      </c>
      <c r="AO968" s="55">
        <v>5394600</v>
      </c>
      <c r="AQ968" s="55">
        <v>31106834191984</v>
      </c>
      <c r="AR968" s="55">
        <v>134948932000</v>
      </c>
      <c r="AS968" s="55">
        <v>92064701000</v>
      </c>
      <c r="AT968" s="55">
        <v>293040503000</v>
      </c>
      <c r="AU968" s="55">
        <f t="shared" si="768"/>
        <v>78350526</v>
      </c>
      <c r="AV968" s="99">
        <f t="shared" si="769"/>
        <v>28129082555.595997</v>
      </c>
    </row>
    <row r="969" spans="1:48">
      <c r="A969" s="92">
        <v>45093</v>
      </c>
      <c r="B969" s="55">
        <v>152722630000</v>
      </c>
      <c r="C969" s="55">
        <v>0</v>
      </c>
      <c r="D969" s="55">
        <v>0</v>
      </c>
      <c r="E969" s="55">
        <v>0</v>
      </c>
      <c r="F969" s="55">
        <v>152722630000</v>
      </c>
      <c r="G969" s="55">
        <v>41235110</v>
      </c>
      <c r="H969" s="55">
        <v>4593155000</v>
      </c>
      <c r="I969" s="55">
        <v>0</v>
      </c>
      <c r="J969" s="55">
        <v>4593155000</v>
      </c>
      <c r="L969" s="55">
        <v>14764259000</v>
      </c>
      <c r="M969" s="55">
        <v>141900000000</v>
      </c>
      <c r="N969" s="55">
        <v>156664259000</v>
      </c>
      <c r="O969" s="55">
        <v>1391846000</v>
      </c>
      <c r="P969" s="55">
        <v>0</v>
      </c>
      <c r="Q969" s="55">
        <v>1391846000</v>
      </c>
      <c r="R969" s="55">
        <v>604246000</v>
      </c>
      <c r="S969" s="55">
        <v>0</v>
      </c>
      <c r="T969" s="55">
        <v>604246000</v>
      </c>
      <c r="U969" s="55">
        <v>31396000</v>
      </c>
      <c r="V969" s="55">
        <v>0</v>
      </c>
      <c r="W969" s="55">
        <v>31396000</v>
      </c>
      <c r="X969" s="55">
        <v>19063000</v>
      </c>
      <c r="Y969" s="55">
        <v>0</v>
      </c>
      <c r="Z969" s="55">
        <v>19063000</v>
      </c>
      <c r="AA969" s="55">
        <v>169640000</v>
      </c>
      <c r="AB969" s="55">
        <v>0</v>
      </c>
      <c r="AC969" s="55">
        <v>169640000</v>
      </c>
      <c r="AD969" s="55">
        <v>265642000</v>
      </c>
      <c r="AE969" s="55">
        <v>232885000</v>
      </c>
      <c r="AF969" s="55">
        <v>498527000</v>
      </c>
      <c r="AG969" s="55">
        <v>0</v>
      </c>
      <c r="AH969" s="55">
        <v>0</v>
      </c>
      <c r="AI969" s="55">
        <v>0</v>
      </c>
      <c r="AJ969" s="55">
        <v>27942558</v>
      </c>
      <c r="AK969" s="55">
        <v>415890</v>
      </c>
      <c r="AL969" s="55">
        <v>44929</v>
      </c>
      <c r="AM969" s="55">
        <v>3808</v>
      </c>
      <c r="AN969" s="55">
        <v>24824250</v>
      </c>
      <c r="AO969" s="55">
        <v>10281600</v>
      </c>
      <c r="AQ969" s="55">
        <v>52040008074986</v>
      </c>
      <c r="AR969" s="55">
        <v>411020716000</v>
      </c>
      <c r="AS969" s="55">
        <v>306337902000</v>
      </c>
      <c r="AT969" s="55">
        <v>459060532000</v>
      </c>
      <c r="AU969" s="55">
        <f t="shared" si="768"/>
        <v>104699408</v>
      </c>
      <c r="AV969" s="99">
        <f t="shared" si="769"/>
        <v>28233781963.595997</v>
      </c>
    </row>
    <row r="970" spans="1:48">
      <c r="A970" s="92">
        <v>45096</v>
      </c>
      <c r="B970" s="55">
        <v>59182775000</v>
      </c>
      <c r="C970" s="55">
        <v>0</v>
      </c>
      <c r="D970" s="55">
        <v>0</v>
      </c>
      <c r="E970" s="55">
        <v>0</v>
      </c>
      <c r="F970" s="55">
        <v>59182775000</v>
      </c>
      <c r="G970" s="55">
        <v>15979349</v>
      </c>
      <c r="H970" s="55">
        <v>4116037000</v>
      </c>
      <c r="I970" s="55">
        <v>0</v>
      </c>
      <c r="J970" s="55">
        <v>4116037000</v>
      </c>
      <c r="L970" s="55">
        <v>0</v>
      </c>
      <c r="M970" s="55">
        <v>108758500000</v>
      </c>
      <c r="N970" s="55">
        <v>108758500000</v>
      </c>
      <c r="O970" s="55">
        <v>19131000</v>
      </c>
      <c r="P970" s="55">
        <v>0</v>
      </c>
      <c r="Q970" s="55">
        <v>19131000</v>
      </c>
      <c r="R970" s="55">
        <v>1040507000</v>
      </c>
      <c r="S970" s="55">
        <v>0</v>
      </c>
      <c r="T970" s="55">
        <v>1040507000</v>
      </c>
      <c r="U970" s="55">
        <v>2738000</v>
      </c>
      <c r="V970" s="55">
        <v>0</v>
      </c>
      <c r="W970" s="55">
        <v>2738000</v>
      </c>
      <c r="X970" s="55">
        <v>347288000</v>
      </c>
      <c r="Y970" s="55">
        <v>0</v>
      </c>
      <c r="Z970" s="55">
        <v>347288000</v>
      </c>
      <c r="AA970" s="55">
        <v>55659000</v>
      </c>
      <c r="AB970" s="55">
        <v>0</v>
      </c>
      <c r="AC970" s="55">
        <v>55659000</v>
      </c>
      <c r="AD970" s="55">
        <v>474240000</v>
      </c>
      <c r="AE970" s="55">
        <v>0</v>
      </c>
      <c r="AF970" s="55">
        <v>474240000</v>
      </c>
      <c r="AG970" s="55">
        <v>0</v>
      </c>
      <c r="AH970" s="55">
        <v>0</v>
      </c>
      <c r="AI970" s="55">
        <v>0</v>
      </c>
      <c r="AJ970" s="55">
        <v>20230535</v>
      </c>
      <c r="AK970" s="55">
        <v>891690</v>
      </c>
      <c r="AL970" s="55">
        <v>44930</v>
      </c>
      <c r="AM970" s="55">
        <v>684</v>
      </c>
      <c r="AN970" s="55">
        <v>8580750</v>
      </c>
      <c r="AO970" s="55">
        <v>1846800</v>
      </c>
      <c r="AQ970" s="55">
        <v>34035032672792</v>
      </c>
      <c r="AR970" s="55">
        <v>922007526000</v>
      </c>
      <c r="AS970" s="55">
        <v>232775008000</v>
      </c>
      <c r="AT970" s="55">
        <v>291957783000</v>
      </c>
      <c r="AU970" s="55">
        <f t="shared" si="768"/>
        <v>47529124</v>
      </c>
      <c r="AV970" s="99">
        <f t="shared" si="769"/>
        <v>28281311087.595997</v>
      </c>
    </row>
    <row r="971" spans="1:48">
      <c r="A971" s="92">
        <v>45097</v>
      </c>
      <c r="B971" s="55">
        <v>108484875000.02</v>
      </c>
      <c r="C971" s="55">
        <v>19939570000</v>
      </c>
      <c r="D971" s="55">
        <v>0</v>
      </c>
      <c r="E971" s="55">
        <v>0</v>
      </c>
      <c r="F971" s="55">
        <v>128424445000.02</v>
      </c>
      <c r="G971" s="55">
        <v>34674600</v>
      </c>
      <c r="H971" s="55">
        <v>246971000</v>
      </c>
      <c r="I971" s="55">
        <v>0</v>
      </c>
      <c r="J971" s="55">
        <v>246971000</v>
      </c>
      <c r="L971" s="55">
        <v>0</v>
      </c>
      <c r="M971" s="55">
        <v>2347500000</v>
      </c>
      <c r="N971" s="55">
        <v>2347500000</v>
      </c>
      <c r="O971" s="55">
        <v>10380000</v>
      </c>
      <c r="P971" s="55">
        <v>3131100000</v>
      </c>
      <c r="Q971" s="55">
        <v>3141480000</v>
      </c>
      <c r="R971" s="55">
        <v>634951000</v>
      </c>
      <c r="S971" s="55">
        <v>0</v>
      </c>
      <c r="T971" s="55">
        <v>634951000</v>
      </c>
      <c r="U971" s="55">
        <v>26960000</v>
      </c>
      <c r="V971" s="55">
        <v>0</v>
      </c>
      <c r="W971" s="55">
        <v>26960000</v>
      </c>
      <c r="X971" s="55">
        <v>345362000</v>
      </c>
      <c r="Y971" s="55">
        <v>0</v>
      </c>
      <c r="Z971" s="55">
        <v>345362000</v>
      </c>
      <c r="AA971" s="55">
        <v>104115000</v>
      </c>
      <c r="AB971" s="55">
        <v>0</v>
      </c>
      <c r="AC971" s="55">
        <v>104115000</v>
      </c>
      <c r="AD971" s="55">
        <v>495020000</v>
      </c>
      <c r="AE971" s="55">
        <v>0</v>
      </c>
      <c r="AF971" s="55">
        <v>495020000</v>
      </c>
      <c r="AG971" s="55">
        <v>0</v>
      </c>
      <c r="AH971" s="55">
        <v>0</v>
      </c>
      <c r="AI971" s="55">
        <v>0</v>
      </c>
      <c r="AJ971" s="55">
        <v>1187434</v>
      </c>
      <c r="AK971" s="55">
        <v>732900</v>
      </c>
      <c r="AL971" s="55">
        <v>44931</v>
      </c>
      <c r="AM971" s="55">
        <v>939</v>
      </c>
      <c r="AN971" s="55">
        <v>6716700</v>
      </c>
      <c r="AO971" s="55">
        <v>2535300</v>
      </c>
      <c r="AQ971" s="55">
        <v>64365186009188</v>
      </c>
      <c r="AR971" s="55">
        <v>135477282000</v>
      </c>
      <c r="AS971" s="55">
        <v>10941839000</v>
      </c>
      <c r="AT971" s="55">
        <v>139366284000.02002</v>
      </c>
      <c r="AU971" s="55">
        <f t="shared" si="768"/>
        <v>45846934</v>
      </c>
      <c r="AV971" s="99">
        <f t="shared" si="769"/>
        <v>28327158021.595997</v>
      </c>
    </row>
    <row r="972" spans="1:48">
      <c r="A972" s="92">
        <v>45098</v>
      </c>
      <c r="B972" s="55">
        <v>161327105000</v>
      </c>
      <c r="C972" s="55">
        <v>100166395000</v>
      </c>
      <c r="D972" s="55">
        <v>0</v>
      </c>
      <c r="E972" s="55">
        <v>2042745000</v>
      </c>
      <c r="F972" s="55">
        <v>263536245000</v>
      </c>
      <c r="G972" s="55">
        <v>71154786</v>
      </c>
      <c r="H972" s="55">
        <v>687844000</v>
      </c>
      <c r="I972" s="55">
        <v>17073400000</v>
      </c>
      <c r="J972" s="55">
        <v>17761244000</v>
      </c>
      <c r="L972" s="55">
        <v>21589400000</v>
      </c>
      <c r="M972" s="55">
        <v>21184300000</v>
      </c>
      <c r="N972" s="55">
        <v>42773700000</v>
      </c>
      <c r="O972" s="55">
        <v>607665000</v>
      </c>
      <c r="P972" s="55">
        <v>0</v>
      </c>
      <c r="Q972" s="55">
        <v>607665000</v>
      </c>
      <c r="R972" s="55">
        <v>648204000</v>
      </c>
      <c r="S972" s="55">
        <v>0</v>
      </c>
      <c r="T972" s="55">
        <v>648204000</v>
      </c>
      <c r="U972" s="55">
        <v>47914000</v>
      </c>
      <c r="V972" s="55">
        <v>0</v>
      </c>
      <c r="W972" s="55">
        <v>47914000</v>
      </c>
      <c r="X972" s="55">
        <v>349460000</v>
      </c>
      <c r="Y972" s="55">
        <v>0</v>
      </c>
      <c r="Z972" s="55">
        <v>349460000</v>
      </c>
      <c r="AA972" s="55">
        <v>653594000</v>
      </c>
      <c r="AB972" s="55">
        <v>0</v>
      </c>
      <c r="AC972" s="55">
        <v>653594000</v>
      </c>
      <c r="AD972" s="55">
        <v>486610000</v>
      </c>
      <c r="AE972" s="55">
        <v>796000000</v>
      </c>
      <c r="AF972" s="55">
        <v>1282610000</v>
      </c>
      <c r="AG972" s="55">
        <v>0</v>
      </c>
      <c r="AH972" s="55">
        <v>0</v>
      </c>
      <c r="AI972" s="55">
        <v>0</v>
      </c>
      <c r="AJ972" s="55">
        <v>9737301</v>
      </c>
      <c r="AK972" s="55">
        <v>1107750</v>
      </c>
      <c r="AL972" s="55">
        <v>44932</v>
      </c>
      <c r="AM972" s="55">
        <v>1701</v>
      </c>
      <c r="AN972" s="55">
        <v>5632950</v>
      </c>
      <c r="AO972" s="55">
        <v>4592700</v>
      </c>
      <c r="AQ972" s="55">
        <v>41569641425196</v>
      </c>
      <c r="AR972" s="55">
        <v>185638232000</v>
      </c>
      <c r="AS972" s="55">
        <v>103695611000</v>
      </c>
      <c r="AT972" s="55">
        <v>205904751000</v>
      </c>
      <c r="AU972" s="55">
        <f t="shared" si="768"/>
        <v>92225487</v>
      </c>
      <c r="AV972" s="99">
        <f t="shared" si="769"/>
        <v>28419383508.595997</v>
      </c>
    </row>
    <row r="973" spans="1:48">
      <c r="A973" s="92">
        <v>45099</v>
      </c>
      <c r="B973" s="55">
        <v>139956533000</v>
      </c>
      <c r="C973" s="55">
        <v>0</v>
      </c>
      <c r="D973" s="55">
        <v>0</v>
      </c>
      <c r="E973" s="55">
        <v>0</v>
      </c>
      <c r="F973" s="55">
        <v>139956533000</v>
      </c>
      <c r="G973" s="55">
        <v>37788264</v>
      </c>
      <c r="H973" s="55">
        <v>174756000</v>
      </c>
      <c r="I973" s="55">
        <v>0</v>
      </c>
      <c r="J973" s="55">
        <v>174756000</v>
      </c>
      <c r="L973" s="55">
        <v>5918817000</v>
      </c>
      <c r="M973" s="55">
        <v>14301000000</v>
      </c>
      <c r="N973" s="55">
        <v>20219817000</v>
      </c>
      <c r="O973" s="55">
        <v>2682737000</v>
      </c>
      <c r="P973" s="55">
        <v>1951400000</v>
      </c>
      <c r="Q973" s="55">
        <v>4634137000</v>
      </c>
      <c r="R973" s="55">
        <v>540480000</v>
      </c>
      <c r="S973" s="55">
        <v>0</v>
      </c>
      <c r="T973" s="55">
        <v>540480000</v>
      </c>
      <c r="U973" s="55">
        <v>84957000</v>
      </c>
      <c r="V973" s="55">
        <v>0</v>
      </c>
      <c r="W973" s="55">
        <v>84957000</v>
      </c>
      <c r="X973" s="55">
        <v>359133000</v>
      </c>
      <c r="Y973" s="55">
        <v>0</v>
      </c>
      <c r="Z973" s="55">
        <v>359133000</v>
      </c>
      <c r="AA973" s="55">
        <v>338645000</v>
      </c>
      <c r="AB973" s="55">
        <v>3056130000</v>
      </c>
      <c r="AC973" s="55">
        <v>3394775000</v>
      </c>
      <c r="AD973" s="55">
        <v>18058000</v>
      </c>
      <c r="AE973" s="55">
        <v>1007200000</v>
      </c>
      <c r="AF973" s="55">
        <v>1025258000</v>
      </c>
      <c r="AG973" s="55">
        <v>0</v>
      </c>
      <c r="AH973" s="55">
        <v>0</v>
      </c>
      <c r="AI973" s="55">
        <v>0</v>
      </c>
      <c r="AJ973" s="55">
        <v>4749530</v>
      </c>
      <c r="AK973" s="55">
        <v>469290</v>
      </c>
      <c r="AL973" s="55">
        <v>44933</v>
      </c>
      <c r="AM973" s="55">
        <v>1655</v>
      </c>
      <c r="AN973" s="55">
        <v>7808100</v>
      </c>
      <c r="AO973" s="55">
        <v>4468500</v>
      </c>
      <c r="AQ973" s="55">
        <v>43634341766630</v>
      </c>
      <c r="AR973" s="55">
        <v>92897566000</v>
      </c>
      <c r="AS973" s="55">
        <v>45528276000</v>
      </c>
      <c r="AT973" s="55">
        <v>185484809000</v>
      </c>
      <c r="AU973" s="55">
        <f t="shared" si="768"/>
        <v>55283684</v>
      </c>
      <c r="AV973" s="99">
        <f t="shared" si="769"/>
        <v>28474667192.595997</v>
      </c>
    </row>
    <row r="974" spans="1:48">
      <c r="A974" s="92">
        <v>45100</v>
      </c>
      <c r="B974" s="55">
        <v>123948130000</v>
      </c>
      <c r="C974" s="55">
        <v>0</v>
      </c>
      <c r="D974" s="55">
        <v>0</v>
      </c>
      <c r="E974" s="55">
        <v>0</v>
      </c>
      <c r="F974" s="55">
        <v>123948130000</v>
      </c>
      <c r="G974" s="55">
        <v>33465995</v>
      </c>
      <c r="H974" s="55">
        <v>10733283000</v>
      </c>
      <c r="I974" s="55">
        <v>9666300000</v>
      </c>
      <c r="J974" s="55">
        <v>20399583000</v>
      </c>
      <c r="L974" s="55">
        <v>1740893000</v>
      </c>
      <c r="M974" s="55">
        <v>0</v>
      </c>
      <c r="N974" s="55">
        <v>1740893000</v>
      </c>
      <c r="O974" s="55">
        <v>404417000</v>
      </c>
      <c r="P974" s="55">
        <v>0</v>
      </c>
      <c r="Q974" s="55">
        <v>404417000</v>
      </c>
      <c r="R974" s="55">
        <v>978518000</v>
      </c>
      <c r="S974" s="55">
        <v>0</v>
      </c>
      <c r="T974" s="55">
        <v>978518000</v>
      </c>
      <c r="U974" s="55">
        <v>63058000</v>
      </c>
      <c r="V974" s="55">
        <v>0</v>
      </c>
      <c r="W974" s="55">
        <v>63058000</v>
      </c>
      <c r="X974" s="55">
        <v>427190000</v>
      </c>
      <c r="Y974" s="55">
        <v>0</v>
      </c>
      <c r="Z974" s="55">
        <v>427190000</v>
      </c>
      <c r="AA974" s="55">
        <v>655279000</v>
      </c>
      <c r="AB974" s="55">
        <v>0</v>
      </c>
      <c r="AC974" s="55">
        <v>655279000</v>
      </c>
      <c r="AD974" s="55">
        <v>492440000</v>
      </c>
      <c r="AE974" s="55">
        <v>0</v>
      </c>
      <c r="AF974" s="55">
        <v>492440000</v>
      </c>
      <c r="AG974" s="55">
        <v>0</v>
      </c>
      <c r="AH974" s="55">
        <v>0</v>
      </c>
      <c r="AI974" s="55">
        <v>0</v>
      </c>
      <c r="AJ974" s="55">
        <v>3413402</v>
      </c>
      <c r="AK974" s="55">
        <v>1055040</v>
      </c>
      <c r="AL974" s="55">
        <v>44929</v>
      </c>
      <c r="AM974" s="55">
        <v>1040</v>
      </c>
      <c r="AN974" s="55">
        <v>16569900</v>
      </c>
      <c r="AO974" s="55">
        <v>2808000</v>
      </c>
      <c r="AQ974" s="55">
        <v>42895492990200</v>
      </c>
      <c r="AR974" s="55">
        <v>184034722000</v>
      </c>
      <c r="AS974" s="55">
        <v>36489838000</v>
      </c>
      <c r="AT974" s="55">
        <v>160437968000</v>
      </c>
      <c r="AU974" s="55">
        <f t="shared" si="768"/>
        <v>57312337</v>
      </c>
      <c r="AV974" s="99">
        <f t="shared" si="769"/>
        <v>28531979529.595997</v>
      </c>
    </row>
    <row r="975" spans="1:48">
      <c r="A975" s="92">
        <v>45103</v>
      </c>
      <c r="B975" s="55">
        <v>167982408000</v>
      </c>
      <c r="C975" s="55">
        <v>0</v>
      </c>
      <c r="D975" s="55">
        <v>0</v>
      </c>
      <c r="E975" s="55">
        <v>0</v>
      </c>
      <c r="F975" s="55">
        <v>167982408000</v>
      </c>
      <c r="G975" s="55">
        <v>45355250</v>
      </c>
      <c r="H975" s="55">
        <v>12439660000</v>
      </c>
      <c r="I975" s="55">
        <v>36675300000</v>
      </c>
      <c r="J975" s="55">
        <v>49114960000</v>
      </c>
      <c r="L975" s="55">
        <v>6042388000</v>
      </c>
      <c r="M975" s="55">
        <v>7183000000</v>
      </c>
      <c r="N975" s="55">
        <v>13225388000</v>
      </c>
      <c r="O975" s="55">
        <v>1113355000</v>
      </c>
      <c r="P975" s="55">
        <v>0</v>
      </c>
      <c r="Q975" s="55">
        <v>1113355000</v>
      </c>
      <c r="R975" s="55">
        <v>724031000</v>
      </c>
      <c r="S975" s="55">
        <v>0</v>
      </c>
      <c r="T975" s="55">
        <v>724031000</v>
      </c>
      <c r="U975" s="55">
        <v>1224200000</v>
      </c>
      <c r="V975" s="55">
        <v>0</v>
      </c>
      <c r="W975" s="55">
        <v>1224200000</v>
      </c>
      <c r="X975" s="55">
        <v>362345000</v>
      </c>
      <c r="Y975" s="55">
        <v>0</v>
      </c>
      <c r="Z975" s="55">
        <v>362345000</v>
      </c>
      <c r="AA975" s="55">
        <v>62584000</v>
      </c>
      <c r="AB975" s="55">
        <v>0</v>
      </c>
      <c r="AC975" s="55">
        <v>62584000</v>
      </c>
      <c r="AD975" s="55">
        <v>514571000</v>
      </c>
      <c r="AE975" s="55">
        <v>0</v>
      </c>
      <c r="AF975" s="55">
        <v>514571000</v>
      </c>
      <c r="AG975" s="55">
        <v>0</v>
      </c>
      <c r="AH975" s="55">
        <v>0</v>
      </c>
      <c r="AI975" s="55">
        <v>0</v>
      </c>
      <c r="AJ975" s="55">
        <v>10322672</v>
      </c>
      <c r="AK975" s="55">
        <v>1577970</v>
      </c>
      <c r="AL975" s="55">
        <v>44930</v>
      </c>
      <c r="AM975" s="55">
        <v>1548</v>
      </c>
      <c r="AN975" s="55">
        <v>3855600</v>
      </c>
      <c r="AO975" s="55">
        <v>4179600</v>
      </c>
      <c r="AQ975" s="55">
        <v>47040556722406</v>
      </c>
      <c r="AR975" s="55">
        <v>242190510000</v>
      </c>
      <c r="AS975" s="55">
        <v>112732353000</v>
      </c>
      <c r="AT975" s="55">
        <v>280714761000</v>
      </c>
      <c r="AU975" s="55">
        <f t="shared" si="768"/>
        <v>65291092</v>
      </c>
      <c r="AV975" s="99">
        <f t="shared" si="769"/>
        <v>28597270621.595997</v>
      </c>
    </row>
    <row r="976" spans="1:48">
      <c r="A976" s="92">
        <v>45104</v>
      </c>
      <c r="B976" s="55">
        <v>42861059000</v>
      </c>
      <c r="C976" s="55">
        <v>0</v>
      </c>
      <c r="D976" s="55">
        <v>0</v>
      </c>
      <c r="E976" s="55">
        <v>0</v>
      </c>
      <c r="F976" s="55">
        <v>42861059000</v>
      </c>
      <c r="G976" s="55">
        <v>11572486</v>
      </c>
      <c r="H976" s="55">
        <v>7351765000</v>
      </c>
      <c r="I976" s="55">
        <v>29085000000</v>
      </c>
      <c r="J976" s="55">
        <v>36436765000</v>
      </c>
      <c r="L976" s="55">
        <v>13811728000</v>
      </c>
      <c r="M976" s="55">
        <v>2406000000</v>
      </c>
      <c r="N976" s="55">
        <v>16217728000</v>
      </c>
      <c r="O976" s="55">
        <v>8917000</v>
      </c>
      <c r="P976" s="55">
        <v>0</v>
      </c>
      <c r="Q976" s="55">
        <v>8917000</v>
      </c>
      <c r="R976" s="55">
        <v>864552000</v>
      </c>
      <c r="S976" s="55">
        <v>0</v>
      </c>
      <c r="T976" s="55">
        <v>864552000</v>
      </c>
      <c r="U976" s="55">
        <v>0</v>
      </c>
      <c r="V976" s="55">
        <v>0</v>
      </c>
      <c r="W976" s="55">
        <v>0</v>
      </c>
      <c r="X976" s="55">
        <v>360606000</v>
      </c>
      <c r="Y976" s="55">
        <v>0</v>
      </c>
      <c r="Z976" s="55">
        <v>360606000</v>
      </c>
      <c r="AA976" s="55">
        <v>1859000</v>
      </c>
      <c r="AB976" s="55">
        <v>0</v>
      </c>
      <c r="AC976" s="55">
        <v>1859000</v>
      </c>
      <c r="AD976" s="55">
        <v>495860000</v>
      </c>
      <c r="AE976" s="55">
        <v>0</v>
      </c>
      <c r="AF976" s="55">
        <v>495860000</v>
      </c>
      <c r="AG976" s="55">
        <v>0</v>
      </c>
      <c r="AH976" s="55">
        <v>0</v>
      </c>
      <c r="AI976" s="55">
        <v>0</v>
      </c>
      <c r="AJ976" s="55">
        <v>8141071</v>
      </c>
      <c r="AK976" s="55">
        <v>576570</v>
      </c>
      <c r="AL976" s="55">
        <v>44931</v>
      </c>
      <c r="AM976" s="55">
        <v>924</v>
      </c>
      <c r="AN976" s="55">
        <v>3891300</v>
      </c>
      <c r="AO976" s="55">
        <v>2494800</v>
      </c>
      <c r="AQ976" s="55">
        <v>33350654985608</v>
      </c>
      <c r="AR976" s="55">
        <v>166223096000</v>
      </c>
      <c r="AS976" s="55">
        <v>87179835000</v>
      </c>
      <c r="AT976" s="55">
        <v>130040894000</v>
      </c>
      <c r="AU976" s="55">
        <f t="shared" si="768"/>
        <v>26676227</v>
      </c>
      <c r="AV976" s="99">
        <f t="shared" si="769"/>
        <v>28623946848.595997</v>
      </c>
    </row>
    <row r="977" spans="1:48">
      <c r="A977" s="92">
        <v>45105</v>
      </c>
      <c r="B977" s="55">
        <v>60731440000</v>
      </c>
      <c r="C977" s="55">
        <v>26083520000</v>
      </c>
      <c r="D977" s="55">
        <v>0</v>
      </c>
      <c r="E977" s="55">
        <v>0</v>
      </c>
      <c r="F977" s="55">
        <v>86814960000</v>
      </c>
      <c r="G977" s="55">
        <v>23440039</v>
      </c>
      <c r="H977" s="55">
        <v>2478208000</v>
      </c>
      <c r="I977" s="55">
        <v>56463100000</v>
      </c>
      <c r="J977" s="55">
        <v>58941308000</v>
      </c>
      <c r="L977" s="55">
        <v>3357942000</v>
      </c>
      <c r="M977" s="55">
        <v>0</v>
      </c>
      <c r="N977" s="55">
        <v>3357942000</v>
      </c>
      <c r="O977" s="55">
        <v>23296000</v>
      </c>
      <c r="P977" s="55">
        <v>0</v>
      </c>
      <c r="Q977" s="55">
        <v>23296000</v>
      </c>
      <c r="R977" s="55">
        <v>953503000</v>
      </c>
      <c r="S977" s="55">
        <v>0</v>
      </c>
      <c r="T977" s="55">
        <v>953503000</v>
      </c>
      <c r="U977" s="55">
        <v>4191000</v>
      </c>
      <c r="V977" s="55">
        <v>0</v>
      </c>
      <c r="W977" s="55">
        <v>4191000</v>
      </c>
      <c r="X977" s="55">
        <v>358884000</v>
      </c>
      <c r="Y977" s="55">
        <v>0</v>
      </c>
      <c r="Z977" s="55">
        <v>358884000</v>
      </c>
      <c r="AA977" s="55">
        <v>12101000</v>
      </c>
      <c r="AB977" s="55">
        <v>0</v>
      </c>
      <c r="AC977" s="55">
        <v>12101000</v>
      </c>
      <c r="AD977" s="55">
        <v>1022492000</v>
      </c>
      <c r="AE977" s="55">
        <v>45495000000</v>
      </c>
      <c r="AF977" s="55">
        <v>46517492000</v>
      </c>
      <c r="AG977" s="55">
        <v>0</v>
      </c>
      <c r="AH977" s="55">
        <v>0</v>
      </c>
      <c r="AI977" s="55">
        <v>0</v>
      </c>
      <c r="AJ977" s="55">
        <v>19239205</v>
      </c>
      <c r="AK977" s="55">
        <v>1149300</v>
      </c>
      <c r="AL977" s="55">
        <v>44932</v>
      </c>
      <c r="AM977" s="55">
        <v>1242</v>
      </c>
      <c r="AN977" s="55">
        <v>4008600</v>
      </c>
      <c r="AO977" s="55">
        <v>3353400</v>
      </c>
      <c r="AQ977" s="55">
        <v>41153530014610</v>
      </c>
      <c r="AR977" s="55">
        <v>249073536000</v>
      </c>
      <c r="AS977" s="55">
        <v>167437837000</v>
      </c>
      <c r="AT977" s="55">
        <v>254252797000</v>
      </c>
      <c r="AU977" s="55">
        <f t="shared" si="768"/>
        <v>51190544</v>
      </c>
      <c r="AV977" s="99">
        <f t="shared" si="769"/>
        <v>28675137392.595997</v>
      </c>
    </row>
    <row r="978" spans="1:48">
      <c r="A978" s="92">
        <v>45106</v>
      </c>
      <c r="B978" s="55">
        <v>61379935000</v>
      </c>
      <c r="C978" s="55">
        <v>11938990000</v>
      </c>
      <c r="D978" s="55">
        <v>0</v>
      </c>
      <c r="E978" s="55">
        <v>0</v>
      </c>
      <c r="F978" s="55">
        <v>73318925000</v>
      </c>
      <c r="G978" s="55">
        <v>19796110</v>
      </c>
      <c r="H978" s="55">
        <v>4106237000</v>
      </c>
      <c r="I978" s="55">
        <v>35019300000</v>
      </c>
      <c r="J978" s="55">
        <v>39125537000</v>
      </c>
      <c r="L978" s="55">
        <v>4024695000</v>
      </c>
      <c r="M978" s="55">
        <v>0</v>
      </c>
      <c r="N978" s="55">
        <v>4024695000</v>
      </c>
      <c r="O978" s="55">
        <v>64482000</v>
      </c>
      <c r="P978" s="55">
        <v>0</v>
      </c>
      <c r="Q978" s="55">
        <v>64482000</v>
      </c>
      <c r="R978" s="55">
        <v>1454494000</v>
      </c>
      <c r="S978" s="55">
        <v>0</v>
      </c>
      <c r="T978" s="55">
        <v>1454494000</v>
      </c>
      <c r="U978" s="55">
        <v>131910000</v>
      </c>
      <c r="V978" s="55">
        <v>0</v>
      </c>
      <c r="W978" s="55">
        <v>131910000</v>
      </c>
      <c r="X978" s="55">
        <v>358870000</v>
      </c>
      <c r="Y978" s="55">
        <v>0</v>
      </c>
      <c r="Z978" s="55">
        <v>358870000</v>
      </c>
      <c r="AA978" s="55">
        <v>166548000</v>
      </c>
      <c r="AB978" s="55">
        <v>0</v>
      </c>
      <c r="AC978" s="55">
        <v>166548000</v>
      </c>
      <c r="AD978" s="55">
        <v>416451000</v>
      </c>
      <c r="AE978" s="55">
        <v>0</v>
      </c>
      <c r="AF978" s="55">
        <v>416451000</v>
      </c>
      <c r="AG978" s="55">
        <v>0</v>
      </c>
      <c r="AH978" s="55">
        <v>0</v>
      </c>
      <c r="AI978" s="55">
        <v>0</v>
      </c>
      <c r="AJ978" s="55">
        <v>7461632</v>
      </c>
      <c r="AK978" s="55">
        <v>836520</v>
      </c>
      <c r="AL978" s="55">
        <v>44933</v>
      </c>
      <c r="AM978" s="55">
        <v>989</v>
      </c>
      <c r="AN978" s="55">
        <v>4878150</v>
      </c>
      <c r="AO978" s="55">
        <v>2670300</v>
      </c>
      <c r="AQ978" s="55">
        <v>39680627017412</v>
      </c>
      <c r="AR978" s="55">
        <v>112192248000</v>
      </c>
      <c r="AS978" s="55">
        <v>81982597000</v>
      </c>
      <c r="AT978" s="55">
        <v>155301522000</v>
      </c>
      <c r="AU978" s="55">
        <f t="shared" si="768"/>
        <v>35642712</v>
      </c>
      <c r="AV978" s="99">
        <f t="shared" si="769"/>
        <v>28710780104.595997</v>
      </c>
    </row>
    <row r="979" spans="1:48">
      <c r="A979" s="92">
        <v>45107</v>
      </c>
      <c r="B979" s="55">
        <v>58154870000</v>
      </c>
      <c r="C979" s="55">
        <v>12187338250</v>
      </c>
      <c r="D979" s="55">
        <v>0</v>
      </c>
      <c r="E979" s="55">
        <v>18492395000</v>
      </c>
      <c r="F979" s="55">
        <v>88834603250</v>
      </c>
      <c r="G979" s="55">
        <v>23985343</v>
      </c>
      <c r="H979" s="55">
        <v>4446488000</v>
      </c>
      <c r="I979" s="55">
        <v>11582500000</v>
      </c>
      <c r="J979" s="55">
        <v>16028988000</v>
      </c>
      <c r="L979" s="55">
        <v>2743695000</v>
      </c>
      <c r="M979" s="55">
        <v>0</v>
      </c>
      <c r="N979" s="55">
        <v>2743695000</v>
      </c>
      <c r="O979" s="55">
        <v>54376000</v>
      </c>
      <c r="P979" s="55">
        <v>0</v>
      </c>
      <c r="Q979" s="55">
        <v>54376000</v>
      </c>
      <c r="R979" s="55">
        <v>1367907000</v>
      </c>
      <c r="S979" s="55">
        <v>0</v>
      </c>
      <c r="T979" s="55">
        <v>1367907000</v>
      </c>
      <c r="U979" s="55">
        <v>88812000</v>
      </c>
      <c r="V979" s="55">
        <v>0</v>
      </c>
      <c r="W979" s="55">
        <v>88812000</v>
      </c>
      <c r="X979" s="55">
        <v>391932000</v>
      </c>
      <c r="Y979" s="55">
        <v>0</v>
      </c>
      <c r="Z979" s="55">
        <v>391932000</v>
      </c>
      <c r="AA979" s="55">
        <v>919000</v>
      </c>
      <c r="AB979" s="55">
        <v>0</v>
      </c>
      <c r="AC979" s="55">
        <v>919000</v>
      </c>
      <c r="AD979" s="55">
        <v>492910000</v>
      </c>
      <c r="AE979" s="55">
        <v>0</v>
      </c>
      <c r="AF979" s="55">
        <v>492910000</v>
      </c>
      <c r="AG979" s="55">
        <v>0</v>
      </c>
      <c r="AH979" s="55">
        <v>0</v>
      </c>
      <c r="AI979" s="55">
        <v>0</v>
      </c>
      <c r="AJ979" s="55">
        <v>3120250</v>
      </c>
      <c r="AK979" s="55">
        <v>498420</v>
      </c>
      <c r="AL979" s="55">
        <v>44929</v>
      </c>
      <c r="AM979" s="55">
        <v>711</v>
      </c>
      <c r="AN979" s="55">
        <v>15743700</v>
      </c>
      <c r="AO979" s="55">
        <v>1919700</v>
      </c>
      <c r="AQ979" s="55">
        <v>28843898180414</v>
      </c>
      <c r="AR979" s="55">
        <v>75580600000</v>
      </c>
      <c r="AS979" s="55">
        <v>34033289000</v>
      </c>
      <c r="AT979" s="55">
        <v>122867892250</v>
      </c>
      <c r="AU979" s="55">
        <f t="shared" ref="AU979:AU983" si="770">G979+AJ979+AK979+AN979+AO979+AP979</f>
        <v>45267413</v>
      </c>
      <c r="AV979" s="99">
        <f t="shared" ref="AV979:AV983" si="771">AV978+AU979</f>
        <v>28756047517.595997</v>
      </c>
    </row>
    <row r="980" spans="1:48">
      <c r="A980" s="92">
        <v>45110</v>
      </c>
      <c r="B980" s="55">
        <v>87044695000</v>
      </c>
      <c r="C980" s="55">
        <v>27714476450</v>
      </c>
      <c r="D980" s="55">
        <v>0</v>
      </c>
      <c r="E980" s="55">
        <v>0</v>
      </c>
      <c r="F980" s="55">
        <v>114759171450</v>
      </c>
      <c r="G980" s="55">
        <v>30984976</v>
      </c>
      <c r="H980" s="55">
        <v>3231928000</v>
      </c>
      <c r="I980" s="55">
        <v>0</v>
      </c>
      <c r="J980" s="55">
        <v>3231928000</v>
      </c>
      <c r="L980" s="55">
        <v>8856388000</v>
      </c>
      <c r="M980" s="55">
        <v>0</v>
      </c>
      <c r="N980" s="55">
        <v>8856388000</v>
      </c>
      <c r="O980" s="55">
        <v>271872000</v>
      </c>
      <c r="P980" s="55">
        <v>0</v>
      </c>
      <c r="Q980" s="55">
        <v>271872000</v>
      </c>
      <c r="R980" s="55">
        <v>1329426000</v>
      </c>
      <c r="S980" s="55">
        <v>0</v>
      </c>
      <c r="T980" s="55">
        <v>1329426000</v>
      </c>
      <c r="U980" s="55">
        <v>77377000</v>
      </c>
      <c r="V980" s="55">
        <v>0</v>
      </c>
      <c r="W980" s="55">
        <v>77377000</v>
      </c>
      <c r="X980" s="55">
        <v>358946000</v>
      </c>
      <c r="Y980" s="55">
        <v>0</v>
      </c>
      <c r="Z980" s="55">
        <v>358946000</v>
      </c>
      <c r="AA980" s="55">
        <v>140483000</v>
      </c>
      <c r="AB980" s="55">
        <v>0</v>
      </c>
      <c r="AC980" s="55">
        <v>140483000</v>
      </c>
      <c r="AD980" s="55">
        <v>483927000</v>
      </c>
      <c r="AE980" s="55">
        <v>0</v>
      </c>
      <c r="AF980" s="55">
        <v>483927000</v>
      </c>
      <c r="AG980" s="55">
        <v>0</v>
      </c>
      <c r="AH980" s="55">
        <v>0</v>
      </c>
      <c r="AI980" s="55">
        <v>0</v>
      </c>
      <c r="AJ980" s="55">
        <v>1593037</v>
      </c>
      <c r="AK980" s="55">
        <v>581340</v>
      </c>
      <c r="AL980" s="55">
        <v>44930</v>
      </c>
      <c r="AM980" s="55">
        <v>1310</v>
      </c>
      <c r="AN980" s="55">
        <v>3870900</v>
      </c>
      <c r="AO980" s="55">
        <v>3537000</v>
      </c>
      <c r="AQ980" s="55">
        <v>25184834307020</v>
      </c>
      <c r="AR980" s="55">
        <v>89944274000</v>
      </c>
      <c r="AS980" s="55">
        <v>16020427000</v>
      </c>
      <c r="AT980" s="55">
        <v>130779598450</v>
      </c>
      <c r="AU980" s="55">
        <f t="shared" si="770"/>
        <v>40567253</v>
      </c>
      <c r="AV980" s="99">
        <f t="shared" si="771"/>
        <v>28796614770.595997</v>
      </c>
    </row>
    <row r="981" spans="1:48">
      <c r="A981" s="92">
        <v>45111</v>
      </c>
      <c r="B981" s="55">
        <v>127154031000</v>
      </c>
      <c r="C981" s="55">
        <v>11298168750</v>
      </c>
      <c r="D981" s="55">
        <v>0</v>
      </c>
      <c r="E981" s="55">
        <v>0</v>
      </c>
      <c r="F981" s="55">
        <v>138452199750</v>
      </c>
      <c r="G981" s="55">
        <v>37382094</v>
      </c>
      <c r="H981" s="55">
        <v>4913229000</v>
      </c>
      <c r="I981" s="55">
        <v>5781900000</v>
      </c>
      <c r="J981" s="55">
        <v>10695129000</v>
      </c>
      <c r="L981" s="55">
        <v>211698000</v>
      </c>
      <c r="M981" s="55">
        <v>0</v>
      </c>
      <c r="N981" s="55">
        <v>211698000</v>
      </c>
      <c r="O981" s="55">
        <v>0</v>
      </c>
      <c r="P981" s="55">
        <v>0</v>
      </c>
      <c r="Q981" s="55">
        <v>0</v>
      </c>
      <c r="R981" s="55">
        <v>825123000</v>
      </c>
      <c r="S981" s="55">
        <v>0</v>
      </c>
      <c r="T981" s="55">
        <v>825123000</v>
      </c>
      <c r="U981" s="55">
        <v>64879000</v>
      </c>
      <c r="V981" s="55">
        <v>0</v>
      </c>
      <c r="W981" s="55">
        <v>64879000</v>
      </c>
      <c r="X981" s="55">
        <v>361137000</v>
      </c>
      <c r="Y981" s="55">
        <v>0</v>
      </c>
      <c r="Z981" s="55">
        <v>361137000</v>
      </c>
      <c r="AA981" s="55">
        <v>365193000</v>
      </c>
      <c r="AB981" s="55">
        <v>0</v>
      </c>
      <c r="AC981" s="55">
        <v>365193000</v>
      </c>
      <c r="AD981" s="55">
        <v>491970000</v>
      </c>
      <c r="AE981" s="55">
        <v>0</v>
      </c>
      <c r="AF981" s="55">
        <v>491970000</v>
      </c>
      <c r="AG981" s="55">
        <v>0</v>
      </c>
      <c r="AH981" s="55">
        <v>0</v>
      </c>
      <c r="AI981" s="55">
        <v>0</v>
      </c>
      <c r="AJ981" s="55">
        <v>1821931</v>
      </c>
      <c r="AK981" s="55">
        <v>319500</v>
      </c>
      <c r="AL981" s="55">
        <v>44931</v>
      </c>
      <c r="AM981" s="55">
        <v>1498</v>
      </c>
      <c r="AN981" s="55">
        <v>5487600</v>
      </c>
      <c r="AO981" s="55">
        <v>4044600</v>
      </c>
      <c r="AQ981" s="55">
        <v>34821154413222</v>
      </c>
      <c r="AR981" s="55">
        <v>40428232000</v>
      </c>
      <c r="AS981" s="55">
        <v>20078059000</v>
      </c>
      <c r="AT981" s="55">
        <v>158530258750</v>
      </c>
      <c r="AU981" s="55">
        <f t="shared" si="770"/>
        <v>49055725</v>
      </c>
      <c r="AV981" s="99">
        <f t="shared" si="771"/>
        <v>28845670495.595997</v>
      </c>
    </row>
    <row r="982" spans="1:48">
      <c r="A982" s="92">
        <v>45112</v>
      </c>
      <c r="B982" s="55">
        <v>105136210000</v>
      </c>
      <c r="C982" s="55">
        <v>0</v>
      </c>
      <c r="D982" s="55">
        <v>0</v>
      </c>
      <c r="E982" s="55">
        <v>0</v>
      </c>
      <c r="F982" s="55">
        <v>105136210000</v>
      </c>
      <c r="G982" s="55">
        <v>28386777</v>
      </c>
      <c r="H982" s="55">
        <v>21645394000</v>
      </c>
      <c r="I982" s="55">
        <v>7774000000</v>
      </c>
      <c r="J982" s="55">
        <v>29419394000</v>
      </c>
      <c r="L982" s="55">
        <v>58137892000</v>
      </c>
      <c r="M982" s="55">
        <v>0</v>
      </c>
      <c r="N982" s="55">
        <v>58137892000</v>
      </c>
      <c r="O982" s="55">
        <v>295464000</v>
      </c>
      <c r="P982" s="55">
        <v>0</v>
      </c>
      <c r="Q982" s="55">
        <v>295464000</v>
      </c>
      <c r="R982" s="55">
        <v>954277000</v>
      </c>
      <c r="S982" s="55">
        <v>0</v>
      </c>
      <c r="T982" s="55">
        <v>954277000</v>
      </c>
      <c r="U982" s="55">
        <v>12583000</v>
      </c>
      <c r="V982" s="55">
        <v>0</v>
      </c>
      <c r="W982" s="55">
        <v>12583000</v>
      </c>
      <c r="X982" s="55">
        <v>358392000</v>
      </c>
      <c r="Y982" s="55">
        <v>0</v>
      </c>
      <c r="Z982" s="55">
        <v>358392000</v>
      </c>
      <c r="AA982" s="55">
        <v>253411000</v>
      </c>
      <c r="AB982" s="55">
        <v>0</v>
      </c>
      <c r="AC982" s="55">
        <v>253411000</v>
      </c>
      <c r="AD982" s="55">
        <v>497280000</v>
      </c>
      <c r="AE982" s="55">
        <v>809840000</v>
      </c>
      <c r="AF982" s="55">
        <v>1307120000</v>
      </c>
      <c r="AG982" s="55">
        <v>0</v>
      </c>
      <c r="AH982" s="55">
        <v>0</v>
      </c>
      <c r="AI982" s="55">
        <v>0</v>
      </c>
      <c r="AJ982" s="55">
        <v>10417798</v>
      </c>
      <c r="AK982" s="55">
        <v>1131720</v>
      </c>
      <c r="AL982" s="55">
        <v>44932</v>
      </c>
      <c r="AM982" s="55">
        <v>2264</v>
      </c>
      <c r="AN982" s="55">
        <v>4488000</v>
      </c>
      <c r="AO982" s="55">
        <v>6112800</v>
      </c>
      <c r="AQ982" s="55">
        <v>39191494827424</v>
      </c>
      <c r="AR982" s="55">
        <v>329547632000</v>
      </c>
      <c r="AS982" s="55">
        <v>99804873000</v>
      </c>
      <c r="AT982" s="55">
        <v>204941083000</v>
      </c>
      <c r="AU982" s="55">
        <f t="shared" si="770"/>
        <v>50537095</v>
      </c>
      <c r="AV982" s="99">
        <f t="shared" si="771"/>
        <v>28896207590.595997</v>
      </c>
    </row>
    <row r="983" spans="1:48">
      <c r="A983" s="92">
        <v>45113</v>
      </c>
      <c r="B983" s="55">
        <v>107694489000</v>
      </c>
      <c r="C983" s="55">
        <v>0</v>
      </c>
      <c r="D983" s="55">
        <v>0</v>
      </c>
      <c r="E983" s="55">
        <v>0</v>
      </c>
      <c r="F983" s="55">
        <v>107694489000</v>
      </c>
      <c r="G983" s="55">
        <v>29077512</v>
      </c>
      <c r="H983" s="55">
        <v>5631841000</v>
      </c>
      <c r="I983" s="55">
        <v>11613000000</v>
      </c>
      <c r="J983" s="55">
        <v>17244841000</v>
      </c>
      <c r="L983" s="55">
        <v>13500533000</v>
      </c>
      <c r="M983" s="55">
        <v>33429500000</v>
      </c>
      <c r="N983" s="55">
        <v>46930033000</v>
      </c>
      <c r="O983" s="55">
        <v>49560000</v>
      </c>
      <c r="P983" s="55">
        <v>0</v>
      </c>
      <c r="Q983" s="55">
        <v>49560000</v>
      </c>
      <c r="R983" s="55">
        <v>1243811000</v>
      </c>
      <c r="S983" s="55">
        <v>0</v>
      </c>
      <c r="T983" s="55">
        <v>1243811000</v>
      </c>
      <c r="U983" s="55">
        <v>58399000</v>
      </c>
      <c r="V983" s="55">
        <v>0</v>
      </c>
      <c r="W983" s="55">
        <v>58399000</v>
      </c>
      <c r="X983" s="55">
        <v>356455000</v>
      </c>
      <c r="Y983" s="55">
        <v>0</v>
      </c>
      <c r="Z983" s="55">
        <v>356455000</v>
      </c>
      <c r="AA983" s="55">
        <v>293825000</v>
      </c>
      <c r="AB983" s="55">
        <v>0</v>
      </c>
      <c r="AC983" s="55">
        <v>293825000</v>
      </c>
      <c r="AD983" s="55">
        <v>492905000</v>
      </c>
      <c r="AE983" s="55">
        <v>0</v>
      </c>
      <c r="AF983" s="55">
        <v>492905000</v>
      </c>
      <c r="AG983" s="55">
        <v>0</v>
      </c>
      <c r="AH983" s="55">
        <v>0</v>
      </c>
      <c r="AI983" s="55">
        <v>0</v>
      </c>
      <c r="AJ983" s="55">
        <v>10443402</v>
      </c>
      <c r="AK983" s="55">
        <v>690300</v>
      </c>
      <c r="AL983" s="55">
        <v>44933</v>
      </c>
      <c r="AM983" s="55">
        <v>2153</v>
      </c>
      <c r="AN983" s="55">
        <v>5714550</v>
      </c>
      <c r="AO983" s="55">
        <v>5813100</v>
      </c>
      <c r="AQ983" s="55">
        <v>42377349770226</v>
      </c>
      <c r="AR983" s="55">
        <v>162944256000</v>
      </c>
      <c r="AS983" s="55">
        <v>113002109000</v>
      </c>
      <c r="AT983" s="55">
        <v>220696597999.88</v>
      </c>
      <c r="AU983" s="55">
        <f t="shared" si="770"/>
        <v>51738864</v>
      </c>
      <c r="AV983" s="99">
        <f t="shared" si="771"/>
        <v>28947946454.595997</v>
      </c>
    </row>
    <row r="984" spans="1:48">
      <c r="A984" s="92">
        <v>45084</v>
      </c>
      <c r="B984" s="55">
        <v>67877040000</v>
      </c>
      <c r="C984" s="55">
        <v>28457508600</v>
      </c>
      <c r="D984" s="55">
        <v>5425630000</v>
      </c>
      <c r="E984" s="55">
        <v>0</v>
      </c>
      <c r="F984" s="55">
        <v>101760178600</v>
      </c>
      <c r="G984" s="55">
        <v>27475248</v>
      </c>
      <c r="H984" s="55">
        <v>316584000</v>
      </c>
      <c r="I984" s="55">
        <v>13252000000</v>
      </c>
      <c r="J984" s="55">
        <v>13568584000</v>
      </c>
      <c r="L984" s="55">
        <v>4572476000</v>
      </c>
      <c r="M984" s="55">
        <v>4692000000</v>
      </c>
      <c r="N984" s="55">
        <v>9264476000</v>
      </c>
      <c r="O984" s="55">
        <v>3662674000</v>
      </c>
      <c r="P984" s="55">
        <v>0</v>
      </c>
      <c r="Q984" s="55">
        <v>3662674000</v>
      </c>
      <c r="R984" s="55">
        <v>854945000</v>
      </c>
      <c r="S984" s="55">
        <v>0</v>
      </c>
      <c r="T984" s="55">
        <v>854945000</v>
      </c>
      <c r="U984" s="55">
        <v>146839000</v>
      </c>
      <c r="V984" s="55">
        <v>0</v>
      </c>
      <c r="W984" s="55">
        <v>146839000</v>
      </c>
      <c r="X984" s="55">
        <v>412860000</v>
      </c>
      <c r="Y984" s="55">
        <v>2170500000</v>
      </c>
      <c r="Z984" s="55">
        <v>2583360000</v>
      </c>
      <c r="AA984" s="55">
        <v>0</v>
      </c>
      <c r="AB984" s="55">
        <v>0</v>
      </c>
      <c r="AC984" s="55">
        <v>0</v>
      </c>
      <c r="AD984" s="55">
        <v>498485000</v>
      </c>
      <c r="AE984" s="55">
        <v>0</v>
      </c>
      <c r="AF984" s="55">
        <v>498485000</v>
      </c>
      <c r="AG984" s="55">
        <v>0</v>
      </c>
      <c r="AH984" s="55">
        <v>0</v>
      </c>
      <c r="AI984" s="55">
        <v>0</v>
      </c>
      <c r="AJ984" s="55">
        <v>4750815</v>
      </c>
      <c r="AK984" s="55">
        <v>823830</v>
      </c>
      <c r="AL984" s="55">
        <v>44929</v>
      </c>
      <c r="AM984" s="55">
        <v>805</v>
      </c>
      <c r="AN984" s="55">
        <v>4388550</v>
      </c>
      <c r="AO984" s="55">
        <v>2173500</v>
      </c>
      <c r="AQ984" s="55">
        <v>41440652390168</v>
      </c>
      <c r="AR984" s="55">
        <v>129454602000</v>
      </c>
      <c r="AS984" s="55">
        <v>51834863000</v>
      </c>
      <c r="AT984" s="55">
        <v>153595041600</v>
      </c>
      <c r="AU984" s="55">
        <f t="shared" ref="AU984:AU988" si="772">G984+AJ984+AK984+AN984+AO984+AP984</f>
        <v>39611943</v>
      </c>
      <c r="AV984" s="99">
        <f t="shared" ref="AV984:AV988" si="773">AV983+AU984</f>
        <v>28987558397.595997</v>
      </c>
    </row>
    <row r="985" spans="1:48">
      <c r="A985" s="92">
        <v>45117</v>
      </c>
      <c r="B985" s="55">
        <v>196412703000</v>
      </c>
      <c r="C985" s="55">
        <v>22272611400</v>
      </c>
      <c r="D985" s="55">
        <v>0</v>
      </c>
      <c r="E985" s="55">
        <v>0</v>
      </c>
      <c r="F985" s="55">
        <v>218685314400</v>
      </c>
      <c r="G985" s="55">
        <v>59045035</v>
      </c>
      <c r="H985" s="55">
        <v>17363600000</v>
      </c>
      <c r="I985" s="55">
        <v>15232800000</v>
      </c>
      <c r="J985" s="55">
        <v>32596400000</v>
      </c>
      <c r="L985" s="55">
        <v>18955210000</v>
      </c>
      <c r="M985" s="55">
        <v>0</v>
      </c>
      <c r="N985" s="55">
        <v>18955210000</v>
      </c>
      <c r="O985" s="55">
        <v>3270185000</v>
      </c>
      <c r="P985" s="55">
        <v>0</v>
      </c>
      <c r="Q985" s="55">
        <v>3270185000</v>
      </c>
      <c r="R985" s="55">
        <v>999333000</v>
      </c>
      <c r="S985" s="55">
        <v>0</v>
      </c>
      <c r="T985" s="55">
        <v>999333000</v>
      </c>
      <c r="U985" s="55">
        <v>29392000</v>
      </c>
      <c r="V985" s="55">
        <v>0</v>
      </c>
      <c r="W985" s="55">
        <v>29392000</v>
      </c>
      <c r="X985" s="55">
        <v>390816000</v>
      </c>
      <c r="Y985" s="55">
        <v>0</v>
      </c>
      <c r="Z985" s="55">
        <v>390816000</v>
      </c>
      <c r="AA985" s="55">
        <v>85972000</v>
      </c>
      <c r="AB985" s="55">
        <v>0</v>
      </c>
      <c r="AC985" s="55">
        <v>85972000</v>
      </c>
      <c r="AD985" s="55">
        <v>555710000</v>
      </c>
      <c r="AE985" s="55">
        <v>0</v>
      </c>
      <c r="AF985" s="55">
        <v>555710000</v>
      </c>
      <c r="AG985" s="55">
        <v>0</v>
      </c>
      <c r="AH985" s="55">
        <v>0</v>
      </c>
      <c r="AI985" s="55">
        <v>0</v>
      </c>
      <c r="AJ985" s="55">
        <v>7240128</v>
      </c>
      <c r="AK985" s="55">
        <v>1186380</v>
      </c>
      <c r="AL985" s="55">
        <v>44930</v>
      </c>
      <c r="AM985" s="55">
        <v>2406</v>
      </c>
      <c r="AN985" s="55">
        <v>8364000</v>
      </c>
      <c r="AO985" s="55">
        <v>6496200</v>
      </c>
      <c r="AQ985" s="55">
        <v>43828913733034</v>
      </c>
      <c r="AR985" s="55">
        <v>216406646000</v>
      </c>
      <c r="AS985" s="55">
        <v>73408748000</v>
      </c>
      <c r="AT985" s="55">
        <v>291043362400</v>
      </c>
      <c r="AU985" s="55">
        <f t="shared" si="772"/>
        <v>82331743</v>
      </c>
      <c r="AV985" s="99">
        <f t="shared" si="773"/>
        <v>29069890140.595997</v>
      </c>
    </row>
    <row r="986" spans="1:48">
      <c r="A986" s="92">
        <v>45118</v>
      </c>
      <c r="B986" s="55">
        <v>177632610000</v>
      </c>
      <c r="C986" s="55">
        <v>0</v>
      </c>
      <c r="D986" s="55">
        <v>0</v>
      </c>
      <c r="E986" s="55">
        <v>0</v>
      </c>
      <c r="F986" s="55">
        <v>177632610000</v>
      </c>
      <c r="G986" s="55">
        <v>47960805</v>
      </c>
      <c r="H986" s="55">
        <v>6491922000</v>
      </c>
      <c r="I986" s="55">
        <v>0</v>
      </c>
      <c r="J986" s="55">
        <v>6491922000</v>
      </c>
      <c r="L986" s="55">
        <v>20064835000</v>
      </c>
      <c r="M986" s="55">
        <v>7360000000</v>
      </c>
      <c r="N986" s="55">
        <v>27424835000</v>
      </c>
      <c r="O986" s="55">
        <v>277606000</v>
      </c>
      <c r="P986" s="55">
        <v>0</v>
      </c>
      <c r="Q986" s="55">
        <v>277606000</v>
      </c>
      <c r="R986" s="55">
        <v>1076069000</v>
      </c>
      <c r="S986" s="55">
        <v>0</v>
      </c>
      <c r="T986" s="55">
        <v>1076069000</v>
      </c>
      <c r="U986" s="55">
        <v>135540000</v>
      </c>
      <c r="V986" s="55">
        <v>0</v>
      </c>
      <c r="W986" s="55">
        <v>135540000</v>
      </c>
      <c r="X986" s="55">
        <v>382429000</v>
      </c>
      <c r="Y986" s="55">
        <v>10546200000</v>
      </c>
      <c r="Z986" s="55">
        <v>10928629000</v>
      </c>
      <c r="AA986" s="55">
        <v>162682000</v>
      </c>
      <c r="AB986" s="55">
        <v>0</v>
      </c>
      <c r="AC986" s="55">
        <v>162682000</v>
      </c>
      <c r="AD986" s="55">
        <v>505256000</v>
      </c>
      <c r="AE986" s="55">
        <v>15355500000</v>
      </c>
      <c r="AF986" s="55">
        <v>15860756000</v>
      </c>
      <c r="AG986" s="55">
        <v>0</v>
      </c>
      <c r="AH986" s="55">
        <v>0</v>
      </c>
      <c r="AI986" s="55">
        <v>0</v>
      </c>
      <c r="AJ986" s="55">
        <v>9129511</v>
      </c>
      <c r="AK986" s="55">
        <v>1596150</v>
      </c>
      <c r="AL986" s="55">
        <v>44931</v>
      </c>
      <c r="AM986" s="55">
        <v>2297</v>
      </c>
      <c r="AN986" s="55">
        <v>7096650</v>
      </c>
      <c r="AO986" s="55">
        <v>6201900</v>
      </c>
      <c r="AQ986" s="55">
        <v>50146422480036</v>
      </c>
      <c r="AR986" s="55">
        <v>178133832000</v>
      </c>
      <c r="AS986" s="55">
        <v>97023311000</v>
      </c>
      <c r="AT986" s="55">
        <v>239903383000.09998</v>
      </c>
      <c r="AU986" s="55">
        <f t="shared" si="772"/>
        <v>71985016</v>
      </c>
      <c r="AV986" s="99">
        <f t="shared" si="773"/>
        <v>29141875156.595997</v>
      </c>
    </row>
    <row r="987" spans="1:48">
      <c r="A987" s="92">
        <v>45119</v>
      </c>
      <c r="B987" s="55">
        <v>148114750000</v>
      </c>
      <c r="C987" s="55">
        <v>0</v>
      </c>
      <c r="D987" s="55">
        <v>0</v>
      </c>
      <c r="E987" s="55">
        <v>0</v>
      </c>
      <c r="F987" s="55">
        <v>148114750000</v>
      </c>
      <c r="G987" s="55">
        <v>39990983</v>
      </c>
      <c r="H987" s="55">
        <v>17752000</v>
      </c>
      <c r="I987" s="55">
        <v>0</v>
      </c>
      <c r="J987" s="55">
        <v>17752000</v>
      </c>
      <c r="L987" s="55">
        <v>5637851000</v>
      </c>
      <c r="M987" s="55">
        <v>0</v>
      </c>
      <c r="N987" s="55">
        <v>5637851000</v>
      </c>
      <c r="O987" s="55">
        <v>820688000</v>
      </c>
      <c r="P987" s="55">
        <v>0</v>
      </c>
      <c r="Q987" s="55">
        <v>820688000</v>
      </c>
      <c r="R987" s="55">
        <v>772969000</v>
      </c>
      <c r="S987" s="55">
        <v>0</v>
      </c>
      <c r="T987" s="55">
        <v>772969000</v>
      </c>
      <c r="U987" s="55">
        <v>136769000</v>
      </c>
      <c r="V987" s="55">
        <v>0</v>
      </c>
      <c r="W987" s="55">
        <v>136769000</v>
      </c>
      <c r="X987" s="55">
        <v>366778000</v>
      </c>
      <c r="Y987" s="55">
        <v>0</v>
      </c>
      <c r="Z987" s="55">
        <v>366778000</v>
      </c>
      <c r="AA987" s="55">
        <v>155135000</v>
      </c>
      <c r="AB987" s="55">
        <v>0</v>
      </c>
      <c r="AC987" s="55">
        <v>155135000</v>
      </c>
      <c r="AD987" s="55">
        <v>1016000</v>
      </c>
      <c r="AE987" s="55">
        <v>0</v>
      </c>
      <c r="AF987" s="55">
        <v>1016000</v>
      </c>
      <c r="AG987" s="55">
        <v>0</v>
      </c>
      <c r="AH987" s="55">
        <v>0</v>
      </c>
      <c r="AI987" s="55">
        <v>0</v>
      </c>
      <c r="AJ987" s="55">
        <v>854167</v>
      </c>
      <c r="AK987" s="55">
        <v>932880</v>
      </c>
      <c r="AL987" s="55">
        <v>44932</v>
      </c>
      <c r="AM987" s="55">
        <v>1671</v>
      </c>
      <c r="AN987" s="55">
        <v>5819100</v>
      </c>
      <c r="AO987" s="55">
        <v>4511700</v>
      </c>
      <c r="AQ987" s="55">
        <v>38432998623838</v>
      </c>
      <c r="AR987" s="55">
        <v>42435546000</v>
      </c>
      <c r="AS987" s="55">
        <v>8715058000</v>
      </c>
      <c r="AT987" s="55">
        <v>156828791999.72998</v>
      </c>
      <c r="AU987" s="55">
        <f t="shared" si="772"/>
        <v>52108830</v>
      </c>
      <c r="AV987" s="99">
        <f t="shared" si="773"/>
        <v>29193983986.595997</v>
      </c>
    </row>
    <row r="988" spans="1:48">
      <c r="A988" s="92">
        <v>45120</v>
      </c>
      <c r="B988" s="55">
        <v>52884630000</v>
      </c>
      <c r="C988" s="55">
        <v>0</v>
      </c>
      <c r="D988" s="55">
        <v>0</v>
      </c>
      <c r="E988" s="55">
        <v>2806514500</v>
      </c>
      <c r="F988" s="55">
        <v>55691144500</v>
      </c>
      <c r="G988" s="55">
        <v>15036609</v>
      </c>
      <c r="H988" s="55">
        <v>79126000</v>
      </c>
      <c r="I988" s="55">
        <v>3945200000</v>
      </c>
      <c r="J988" s="55">
        <v>4024326000</v>
      </c>
      <c r="L988" s="55">
        <v>3808968000</v>
      </c>
      <c r="M988" s="55">
        <v>0</v>
      </c>
      <c r="N988" s="55">
        <v>3808968000</v>
      </c>
      <c r="O988" s="55">
        <v>135741000</v>
      </c>
      <c r="P988" s="55">
        <v>0</v>
      </c>
      <c r="Q988" s="55">
        <v>135741000</v>
      </c>
      <c r="R988" s="55">
        <v>904205000</v>
      </c>
      <c r="S988" s="55">
        <v>0</v>
      </c>
      <c r="T988" s="55">
        <v>904205000</v>
      </c>
      <c r="U988" s="55">
        <v>11352000</v>
      </c>
      <c r="V988" s="55">
        <v>0</v>
      </c>
      <c r="W988" s="55">
        <v>11352000</v>
      </c>
      <c r="X988" s="55">
        <v>390127000</v>
      </c>
      <c r="Y988" s="55">
        <v>0</v>
      </c>
      <c r="Z988" s="55">
        <v>390127000</v>
      </c>
      <c r="AA988" s="55">
        <v>93700000</v>
      </c>
      <c r="AB988" s="55">
        <v>0</v>
      </c>
      <c r="AC988" s="55">
        <v>93700000</v>
      </c>
      <c r="AD988" s="55">
        <v>55584000</v>
      </c>
      <c r="AE988" s="55">
        <v>15387000000</v>
      </c>
      <c r="AF988" s="55">
        <v>15442584000</v>
      </c>
      <c r="AG988" s="55">
        <v>0</v>
      </c>
      <c r="AH988" s="55">
        <v>0</v>
      </c>
      <c r="AI988" s="55">
        <v>0</v>
      </c>
      <c r="AJ988" s="55">
        <v>4071507</v>
      </c>
      <c r="AK988" s="55">
        <v>712620</v>
      </c>
      <c r="AL988" s="55">
        <v>44933</v>
      </c>
      <c r="AM988" s="55">
        <v>1148</v>
      </c>
      <c r="AN988" s="55">
        <v>8205900</v>
      </c>
      <c r="AO988" s="55">
        <v>3099600</v>
      </c>
      <c r="AQ988" s="55">
        <v>38561812633240</v>
      </c>
      <c r="AR988" s="55">
        <v>121747386000</v>
      </c>
      <c r="AS988" s="55">
        <v>20268026000</v>
      </c>
      <c r="AT988" s="55">
        <v>60572170500</v>
      </c>
      <c r="AU988" s="55">
        <f t="shared" si="772"/>
        <v>31126236</v>
      </c>
      <c r="AV988" s="99">
        <f t="shared" si="773"/>
        <v>29225110222.595997</v>
      </c>
    </row>
    <row r="989" spans="1:48">
      <c r="A989" s="92">
        <v>45091</v>
      </c>
      <c r="B989" s="55">
        <v>97046927000</v>
      </c>
      <c r="C989" s="55">
        <v>8108255000</v>
      </c>
      <c r="D989" s="55">
        <v>0</v>
      </c>
      <c r="E989" s="55">
        <v>0</v>
      </c>
      <c r="F989" s="55">
        <v>105155182000</v>
      </c>
      <c r="G989" s="55">
        <v>28391899</v>
      </c>
      <c r="H989" s="55">
        <v>0</v>
      </c>
      <c r="I989" s="55">
        <v>0</v>
      </c>
      <c r="J989" s="55">
        <v>0</v>
      </c>
      <c r="L989" s="55">
        <v>0</v>
      </c>
      <c r="M989" s="55">
        <v>0</v>
      </c>
      <c r="N989" s="55">
        <v>0</v>
      </c>
      <c r="O989" s="55">
        <v>0</v>
      </c>
      <c r="P989" s="55">
        <v>0</v>
      </c>
      <c r="Q989" s="55">
        <v>0</v>
      </c>
      <c r="R989" s="55">
        <v>0</v>
      </c>
      <c r="S989" s="55">
        <v>0</v>
      </c>
      <c r="T989" s="55">
        <v>0</v>
      </c>
      <c r="U989" s="55">
        <v>0</v>
      </c>
      <c r="V989" s="55">
        <v>0</v>
      </c>
      <c r="W989" s="55">
        <v>0</v>
      </c>
      <c r="X989" s="55">
        <v>0</v>
      </c>
      <c r="Y989" s="55">
        <v>0</v>
      </c>
      <c r="Z989" s="55">
        <v>0</v>
      </c>
      <c r="AA989" s="55">
        <v>0</v>
      </c>
      <c r="AB989" s="55">
        <v>0</v>
      </c>
      <c r="AC989" s="55">
        <v>0</v>
      </c>
      <c r="AD989" s="55">
        <v>0</v>
      </c>
      <c r="AE989" s="55">
        <v>0</v>
      </c>
      <c r="AF989" s="55">
        <v>0</v>
      </c>
      <c r="AG989" s="55">
        <v>0</v>
      </c>
      <c r="AH989" s="55">
        <v>0</v>
      </c>
      <c r="AI989" s="55">
        <v>0</v>
      </c>
      <c r="AJ989" s="55">
        <v>0</v>
      </c>
      <c r="AK989" s="55">
        <v>384180</v>
      </c>
      <c r="AL989" s="55">
        <v>44929</v>
      </c>
      <c r="AM989" s="55">
        <v>2873</v>
      </c>
      <c r="AN989" s="55">
        <v>13535400</v>
      </c>
      <c r="AO989" s="55">
        <v>7757100</v>
      </c>
      <c r="AQ989" s="55">
        <v>40050487072682</v>
      </c>
      <c r="AR989" s="55">
        <v>111388030000</v>
      </c>
      <c r="AS989" s="55">
        <v>49511383000</v>
      </c>
      <c r="AT989" s="55">
        <v>154666565000</v>
      </c>
      <c r="AU989" s="55">
        <f t="shared" ref="AU989:AU999" si="774">G989+AJ989+AK989+AN989+AO989+AP989</f>
        <v>50068579</v>
      </c>
      <c r="AV989" s="99">
        <f t="shared" ref="AV989:AV999" si="775">AV988+AU989</f>
        <v>29275178801.595997</v>
      </c>
    </row>
    <row r="990" spans="1:48">
      <c r="A990" s="92">
        <v>45124</v>
      </c>
      <c r="B990" s="55">
        <v>107720085000</v>
      </c>
      <c r="C990" s="55">
        <v>0</v>
      </c>
      <c r="D990" s="55">
        <v>0</v>
      </c>
      <c r="E990" s="55">
        <v>6315580000</v>
      </c>
      <c r="F990" s="55">
        <v>114035665000</v>
      </c>
      <c r="G990" s="55">
        <v>30789630</v>
      </c>
      <c r="H990" s="55">
        <v>837743000</v>
      </c>
      <c r="I990" s="55">
        <v>19973500000</v>
      </c>
      <c r="J990" s="55">
        <v>20811243000</v>
      </c>
      <c r="L990" s="55">
        <v>9356356000</v>
      </c>
      <c r="M990" s="55">
        <v>2509500000</v>
      </c>
      <c r="N990" s="55">
        <v>11865856000</v>
      </c>
      <c r="O990" s="55">
        <v>2409230000</v>
      </c>
      <c r="P990" s="55">
        <v>0</v>
      </c>
      <c r="Q990" s="55">
        <v>2409230000</v>
      </c>
      <c r="R990" s="55">
        <v>895005000</v>
      </c>
      <c r="S990" s="55">
        <v>0</v>
      </c>
      <c r="T990" s="55">
        <v>895005000</v>
      </c>
      <c r="U990" s="55">
        <v>73176000</v>
      </c>
      <c r="V990" s="55">
        <v>0</v>
      </c>
      <c r="W990" s="55">
        <v>73176000</v>
      </c>
      <c r="X990" s="55">
        <v>381434000</v>
      </c>
      <c r="Y990" s="55">
        <v>0</v>
      </c>
      <c r="Z990" s="55">
        <v>381434000</v>
      </c>
      <c r="AA990" s="55">
        <v>24380000</v>
      </c>
      <c r="AB990" s="55">
        <v>0</v>
      </c>
      <c r="AC990" s="55">
        <v>24380000</v>
      </c>
      <c r="AD990" s="55">
        <v>570510000</v>
      </c>
      <c r="AE990" s="55">
        <v>0</v>
      </c>
      <c r="AF990" s="55">
        <v>570510000</v>
      </c>
      <c r="AG990" s="55">
        <v>0</v>
      </c>
      <c r="AH990" s="55">
        <v>0</v>
      </c>
      <c r="AI990" s="55">
        <v>0</v>
      </c>
      <c r="AJ990" s="55">
        <v>5618106</v>
      </c>
      <c r="AK990" s="55">
        <v>820110</v>
      </c>
      <c r="AL990" s="55">
        <v>44930</v>
      </c>
      <c r="AM990" s="55">
        <v>2059</v>
      </c>
      <c r="AN990" s="55">
        <v>15812550</v>
      </c>
      <c r="AO990" s="55">
        <v>5559300</v>
      </c>
      <c r="AQ990" s="55">
        <v>42582849144448</v>
      </c>
      <c r="AR990" s="55">
        <v>124310886000</v>
      </c>
      <c r="AS990" s="55">
        <v>23800060000</v>
      </c>
      <c r="AT990" s="55">
        <v>137342285000</v>
      </c>
      <c r="AU990" s="55">
        <f t="shared" si="774"/>
        <v>58599696</v>
      </c>
      <c r="AV990" s="99">
        <f t="shared" si="775"/>
        <v>29333778497.595997</v>
      </c>
    </row>
    <row r="991" spans="1:48">
      <c r="A991" s="92">
        <v>45125</v>
      </c>
      <c r="B991" s="55">
        <v>48068940000</v>
      </c>
      <c r="C991" s="55">
        <v>0</v>
      </c>
      <c r="D991" s="55">
        <v>0</v>
      </c>
      <c r="E991" s="55">
        <v>0</v>
      </c>
      <c r="F991" s="55">
        <v>48068940000</v>
      </c>
      <c r="G991" s="55">
        <v>12978614</v>
      </c>
      <c r="H991" s="55">
        <v>2311286000</v>
      </c>
      <c r="I991" s="55">
        <v>0</v>
      </c>
      <c r="J991" s="55">
        <v>2311286000</v>
      </c>
      <c r="L991" s="55">
        <v>10394291000</v>
      </c>
      <c r="M991" s="55">
        <v>10031500000</v>
      </c>
      <c r="N991" s="55">
        <v>20425791000</v>
      </c>
      <c r="O991" s="55">
        <v>1095139000</v>
      </c>
      <c r="P991" s="55">
        <v>0</v>
      </c>
      <c r="Q991" s="55">
        <v>1095139000</v>
      </c>
      <c r="R991" s="55">
        <v>690380000</v>
      </c>
      <c r="S991" s="55">
        <v>0</v>
      </c>
      <c r="T991" s="55">
        <v>690380000</v>
      </c>
      <c r="U991" s="55">
        <v>63321000</v>
      </c>
      <c r="V991" s="55">
        <v>0</v>
      </c>
      <c r="W991" s="55">
        <v>63321000</v>
      </c>
      <c r="X991" s="55">
        <v>379674000</v>
      </c>
      <c r="Y991" s="55">
        <v>0</v>
      </c>
      <c r="Z991" s="55">
        <v>379674000</v>
      </c>
      <c r="AA991" s="55">
        <v>19493000</v>
      </c>
      <c r="AB991" s="55">
        <v>0</v>
      </c>
      <c r="AC991" s="55">
        <v>19493000</v>
      </c>
      <c r="AD991" s="55">
        <v>509638000</v>
      </c>
      <c r="AE991" s="55">
        <v>0</v>
      </c>
      <c r="AF991" s="55">
        <v>509638000</v>
      </c>
      <c r="AG991" s="55">
        <v>0</v>
      </c>
      <c r="AH991" s="55">
        <v>0</v>
      </c>
      <c r="AI991" s="55">
        <v>0</v>
      </c>
      <c r="AJ991" s="55">
        <v>3475698</v>
      </c>
      <c r="AK991" s="55">
        <v>529140</v>
      </c>
      <c r="AL991" s="55">
        <v>44931</v>
      </c>
      <c r="AM991" s="55">
        <v>1635</v>
      </c>
      <c r="AN991" s="55">
        <v>19456500</v>
      </c>
      <c r="AO991" s="55">
        <v>4414500</v>
      </c>
      <c r="AQ991" s="55">
        <v>38119941676250</v>
      </c>
      <c r="AR991" s="55">
        <v>66257720000</v>
      </c>
      <c r="AS991" s="55">
        <v>11361560000</v>
      </c>
      <c r="AT991" s="55">
        <v>58921900000</v>
      </c>
      <c r="AU991" s="55">
        <f t="shared" si="774"/>
        <v>40854452</v>
      </c>
      <c r="AV991" s="99">
        <f t="shared" si="775"/>
        <v>29374632949.595997</v>
      </c>
    </row>
    <row r="992" spans="1:48">
      <c r="A992" s="92">
        <v>45126</v>
      </c>
      <c r="B992" s="55">
        <v>126050635000</v>
      </c>
      <c r="C992" s="55">
        <v>792000000</v>
      </c>
      <c r="D992" s="55">
        <v>0</v>
      </c>
      <c r="E992" s="55">
        <v>0</v>
      </c>
      <c r="F992" s="55">
        <v>126842635000</v>
      </c>
      <c r="G992" s="55">
        <v>34247511</v>
      </c>
      <c r="H992" s="55">
        <v>0</v>
      </c>
      <c r="I992" s="55">
        <v>38088000000</v>
      </c>
      <c r="J992" s="55">
        <v>38088000000</v>
      </c>
      <c r="L992" s="55">
        <v>264148000</v>
      </c>
      <c r="M992" s="55">
        <v>45121000000</v>
      </c>
      <c r="N992" s="55">
        <v>45385148000</v>
      </c>
      <c r="O992" s="55">
        <v>1873377000</v>
      </c>
      <c r="P992" s="55">
        <v>0</v>
      </c>
      <c r="Q992" s="55">
        <v>1873377000</v>
      </c>
      <c r="R992" s="55">
        <v>458428000</v>
      </c>
      <c r="S992" s="55">
        <v>0</v>
      </c>
      <c r="T992" s="55">
        <v>458428000</v>
      </c>
      <c r="U992" s="55">
        <v>276714000</v>
      </c>
      <c r="V992" s="55">
        <v>0</v>
      </c>
      <c r="W992" s="55">
        <v>276714000</v>
      </c>
      <c r="X992" s="55">
        <v>180950000</v>
      </c>
      <c r="Y992" s="55">
        <v>5368900000</v>
      </c>
      <c r="Z992" s="55">
        <v>5549850000</v>
      </c>
      <c r="AA992" s="55">
        <v>53903000</v>
      </c>
      <c r="AB992" s="55">
        <v>0</v>
      </c>
      <c r="AC992" s="55">
        <v>53903000</v>
      </c>
      <c r="AD992" s="55">
        <v>10390000</v>
      </c>
      <c r="AE992" s="55">
        <v>11383900000</v>
      </c>
      <c r="AF992" s="55">
        <v>11394290000</v>
      </c>
      <c r="AG992" s="55">
        <v>0</v>
      </c>
      <c r="AH992" s="55">
        <v>0</v>
      </c>
      <c r="AI992" s="55">
        <v>0</v>
      </c>
      <c r="AJ992" s="55">
        <v>18329858</v>
      </c>
      <c r="AK992" s="55">
        <v>1029180</v>
      </c>
      <c r="AL992" s="55">
        <v>44932</v>
      </c>
      <c r="AM992" s="55">
        <v>746</v>
      </c>
      <c r="AN992" s="55">
        <v>18966900</v>
      </c>
      <c r="AO992" s="55">
        <v>2014200</v>
      </c>
      <c r="AQ992" s="55">
        <v>40217575726852</v>
      </c>
      <c r="AR992" s="55">
        <v>226042126000</v>
      </c>
      <c r="AS992" s="55">
        <v>100612390000</v>
      </c>
      <c r="AT992" s="55">
        <v>216060735000</v>
      </c>
      <c r="AU992" s="55">
        <f t="shared" si="774"/>
        <v>74587649</v>
      </c>
      <c r="AV992" s="99">
        <f t="shared" si="775"/>
        <v>29449220598.595997</v>
      </c>
    </row>
    <row r="993" spans="1:48">
      <c r="A993" s="92">
        <v>45127</v>
      </c>
      <c r="B993" s="55">
        <v>444849990000</v>
      </c>
      <c r="C993" s="55">
        <v>19124320000</v>
      </c>
      <c r="D993" s="55">
        <v>0</v>
      </c>
      <c r="E993" s="55">
        <v>0</v>
      </c>
      <c r="F993" s="55">
        <v>463974310000</v>
      </c>
      <c r="G993" s="55">
        <v>125273064</v>
      </c>
      <c r="H993" s="55">
        <v>100039000</v>
      </c>
      <c r="I993" s="55">
        <v>5996400000</v>
      </c>
      <c r="J993" s="55">
        <v>6096439000</v>
      </c>
      <c r="L993" s="55">
        <v>5305373000</v>
      </c>
      <c r="M993" s="55">
        <v>0</v>
      </c>
      <c r="N993" s="55">
        <v>5305373000</v>
      </c>
      <c r="O993" s="55">
        <v>949261000</v>
      </c>
      <c r="P993" s="55">
        <v>0</v>
      </c>
      <c r="Q993" s="55">
        <v>949261000</v>
      </c>
      <c r="R993" s="55">
        <v>977448000</v>
      </c>
      <c r="S993" s="55">
        <v>0</v>
      </c>
      <c r="T993" s="55">
        <v>977448000</v>
      </c>
      <c r="U993" s="55">
        <v>31667000</v>
      </c>
      <c r="V993" s="55">
        <v>0</v>
      </c>
      <c r="W993" s="55">
        <v>31667000</v>
      </c>
      <c r="X993" s="55">
        <v>188641000</v>
      </c>
      <c r="Y993" s="55">
        <v>0</v>
      </c>
      <c r="Z993" s="55">
        <v>188641000</v>
      </c>
      <c r="AA993" s="55">
        <v>15611000</v>
      </c>
      <c r="AB993" s="55">
        <v>0</v>
      </c>
      <c r="AC993" s="55">
        <v>15611000</v>
      </c>
      <c r="AD993" s="55">
        <v>0</v>
      </c>
      <c r="AE993" s="55">
        <v>4139600000</v>
      </c>
      <c r="AF993" s="55">
        <v>4139600000</v>
      </c>
      <c r="AG993" s="55">
        <v>0</v>
      </c>
      <c r="AH993" s="55">
        <v>0</v>
      </c>
      <c r="AI993" s="55">
        <v>0</v>
      </c>
      <c r="AJ993" s="55">
        <v>2641828</v>
      </c>
      <c r="AK993" s="55">
        <v>479400</v>
      </c>
      <c r="AL993" s="55">
        <v>44933</v>
      </c>
      <c r="AM993" s="55">
        <v>6132</v>
      </c>
      <c r="AN993" s="55">
        <v>12984600</v>
      </c>
      <c r="AO993" s="55">
        <v>16556400</v>
      </c>
      <c r="AQ993" s="55">
        <v>37149251567054</v>
      </c>
      <c r="AR993" s="55">
        <v>64138520000</v>
      </c>
      <c r="AS993" s="55">
        <v>10785040000</v>
      </c>
      <c r="AT993" s="55">
        <v>470609410000</v>
      </c>
      <c r="AU993" s="55">
        <f t="shared" si="774"/>
        <v>157935292</v>
      </c>
      <c r="AV993" s="99">
        <f t="shared" si="775"/>
        <v>29607155890.595997</v>
      </c>
    </row>
    <row r="994" spans="1:48">
      <c r="A994" s="92">
        <v>45128</v>
      </c>
      <c r="B994" s="55">
        <v>110133935000.07001</v>
      </c>
      <c r="C994" s="55">
        <v>22143630000</v>
      </c>
      <c r="D994" s="55">
        <v>0</v>
      </c>
      <c r="E994" s="55">
        <v>0</v>
      </c>
      <c r="F994" s="55">
        <v>132277565000.07001</v>
      </c>
      <c r="G994" s="55">
        <v>35714943</v>
      </c>
      <c r="H994" s="55">
        <v>62649000</v>
      </c>
      <c r="I994" s="55">
        <v>0</v>
      </c>
      <c r="J994" s="55">
        <v>62649000</v>
      </c>
      <c r="L994" s="55">
        <v>22022219000</v>
      </c>
      <c r="M994" s="55">
        <v>0</v>
      </c>
      <c r="N994" s="55">
        <v>22022219000</v>
      </c>
      <c r="O994" s="55">
        <v>581148000</v>
      </c>
      <c r="P994" s="55">
        <v>0</v>
      </c>
      <c r="Q994" s="55">
        <v>581148000</v>
      </c>
      <c r="R994" s="55">
        <v>1199433000</v>
      </c>
      <c r="S994" s="55">
        <v>0</v>
      </c>
      <c r="T994" s="55">
        <v>1199433000</v>
      </c>
      <c r="U994" s="55">
        <v>556722000</v>
      </c>
      <c r="V994" s="55">
        <v>0</v>
      </c>
      <c r="W994" s="55">
        <v>556722000</v>
      </c>
      <c r="X994" s="55">
        <v>28494000</v>
      </c>
      <c r="Y994" s="55">
        <v>38405000000</v>
      </c>
      <c r="Z994" s="55">
        <v>38433494000</v>
      </c>
      <c r="AA994" s="55">
        <v>72627000</v>
      </c>
      <c r="AB994" s="55">
        <v>0</v>
      </c>
      <c r="AC994" s="55">
        <v>72627000</v>
      </c>
      <c r="AD994" s="55">
        <v>0</v>
      </c>
      <c r="AE994" s="55">
        <v>6274200000</v>
      </c>
      <c r="AF994" s="55">
        <v>6274200000</v>
      </c>
      <c r="AG994" s="55">
        <v>0</v>
      </c>
      <c r="AH994" s="55">
        <v>0</v>
      </c>
      <c r="AI994" s="55">
        <v>0</v>
      </c>
      <c r="AJ994" s="55">
        <v>10690772</v>
      </c>
      <c r="AK994" s="55">
        <v>1106310</v>
      </c>
      <c r="AL994" s="55">
        <v>44929</v>
      </c>
      <c r="AM994" s="55">
        <v>1053</v>
      </c>
      <c r="AN994" s="55">
        <v>39451050</v>
      </c>
      <c r="AO994" s="55">
        <v>2843100</v>
      </c>
      <c r="AQ994" s="55">
        <v>45039092830056</v>
      </c>
      <c r="AR994" s="55">
        <v>395942686000</v>
      </c>
      <c r="AS994" s="55">
        <v>45138185840</v>
      </c>
      <c r="AT994" s="55">
        <v>171141550840.07001</v>
      </c>
      <c r="AU994" s="55">
        <f t="shared" si="774"/>
        <v>89806175</v>
      </c>
      <c r="AV994" s="99">
        <f t="shared" si="775"/>
        <v>29696962065.595997</v>
      </c>
    </row>
    <row r="995" spans="1:48">
      <c r="A995" s="92">
        <v>45131</v>
      </c>
      <c r="B995" s="55">
        <v>76450025000</v>
      </c>
      <c r="C995" s="55">
        <v>6488650000</v>
      </c>
      <c r="D995" s="55">
        <v>0</v>
      </c>
      <c r="E995" s="55">
        <v>5183400000</v>
      </c>
      <c r="F995" s="55">
        <v>88122075000</v>
      </c>
      <c r="G995" s="55">
        <v>23792960</v>
      </c>
      <c r="H995" s="55">
        <v>1048421000</v>
      </c>
      <c r="I995" s="55">
        <v>10206600000</v>
      </c>
      <c r="J995" s="55">
        <v>11255021000</v>
      </c>
      <c r="L995" s="55">
        <v>8263266000</v>
      </c>
      <c r="M995" s="55">
        <v>0</v>
      </c>
      <c r="N995" s="55">
        <v>8263266000</v>
      </c>
      <c r="O995" s="55">
        <v>2600369000</v>
      </c>
      <c r="P995" s="55">
        <v>0</v>
      </c>
      <c r="Q995" s="55">
        <v>2600369000</v>
      </c>
      <c r="R995" s="55">
        <v>1251005000</v>
      </c>
      <c r="S995" s="55">
        <v>0</v>
      </c>
      <c r="T995" s="55">
        <v>1251005000</v>
      </c>
      <c r="U995" s="55">
        <v>289495000</v>
      </c>
      <c r="V995" s="55">
        <v>0</v>
      </c>
      <c r="W995" s="55">
        <v>289495000</v>
      </c>
      <c r="X995" s="55">
        <v>10924000</v>
      </c>
      <c r="Y995" s="55">
        <v>38935000000</v>
      </c>
      <c r="Z995" s="55">
        <v>38945924000</v>
      </c>
      <c r="AA995" s="55">
        <v>57051000</v>
      </c>
      <c r="AB995" s="55">
        <v>0</v>
      </c>
      <c r="AC995" s="55">
        <v>57051000</v>
      </c>
      <c r="AD995" s="55">
        <v>636287000</v>
      </c>
      <c r="AE995" s="55">
        <v>6315000000</v>
      </c>
      <c r="AF995" s="55">
        <v>6951287000</v>
      </c>
      <c r="AG995" s="55">
        <v>0</v>
      </c>
      <c r="AH995" s="55">
        <v>0</v>
      </c>
      <c r="AI995" s="55">
        <v>0</v>
      </c>
      <c r="AJ995" s="55">
        <v>11511124</v>
      </c>
      <c r="AK995" s="55">
        <v>716640</v>
      </c>
      <c r="AL995" s="55">
        <v>44930</v>
      </c>
      <c r="AM995" s="55">
        <v>684</v>
      </c>
      <c r="AN995" s="55">
        <v>13767450</v>
      </c>
      <c r="AO995" s="55">
        <v>1846800</v>
      </c>
      <c r="AQ995" s="55">
        <v>46233512686262</v>
      </c>
      <c r="AR995" s="55">
        <v>249627530000</v>
      </c>
      <c r="AS995" s="55">
        <v>56434540000</v>
      </c>
      <c r="AT995" s="55">
        <v>137728075000</v>
      </c>
      <c r="AU995" s="55">
        <f t="shared" si="774"/>
        <v>51634974</v>
      </c>
      <c r="AV995" s="99">
        <f t="shared" si="775"/>
        <v>29748597039.595997</v>
      </c>
    </row>
    <row r="996" spans="1:48">
      <c r="A996" s="92">
        <v>45132</v>
      </c>
      <c r="B996" s="55">
        <v>280665829000</v>
      </c>
      <c r="C996" s="55">
        <v>0</v>
      </c>
      <c r="D996" s="55">
        <v>0</v>
      </c>
      <c r="E996" s="55">
        <v>14504395000</v>
      </c>
      <c r="F996" s="55">
        <v>295170224000</v>
      </c>
      <c r="G996" s="55">
        <v>79695960</v>
      </c>
      <c r="H996" s="55">
        <v>22966605000</v>
      </c>
      <c r="I996" s="55">
        <v>6170100000</v>
      </c>
      <c r="J996" s="55">
        <v>29136705000</v>
      </c>
      <c r="L996" s="55">
        <v>15734463000</v>
      </c>
      <c r="M996" s="55">
        <v>0</v>
      </c>
      <c r="N996" s="55">
        <v>15734463000</v>
      </c>
      <c r="O996" s="55">
        <v>2001400000</v>
      </c>
      <c r="P996" s="55">
        <v>0</v>
      </c>
      <c r="Q996" s="55">
        <v>2001400000</v>
      </c>
      <c r="R996" s="55">
        <v>1037376000</v>
      </c>
      <c r="S996" s="55">
        <v>0</v>
      </c>
      <c r="T996" s="55">
        <v>1037376000</v>
      </c>
      <c r="U996" s="55">
        <v>16246000</v>
      </c>
      <c r="V996" s="55">
        <v>0</v>
      </c>
      <c r="W996" s="55">
        <v>16246000</v>
      </c>
      <c r="X996" s="55">
        <v>0</v>
      </c>
      <c r="Y996" s="55">
        <v>0</v>
      </c>
      <c r="Z996" s="55">
        <v>0</v>
      </c>
      <c r="AA996" s="55">
        <v>16098000</v>
      </c>
      <c r="AB996" s="55">
        <v>0</v>
      </c>
      <c r="AC996" s="55">
        <v>16098000</v>
      </c>
      <c r="AD996" s="55">
        <v>517920000</v>
      </c>
      <c r="AE996" s="55">
        <v>0</v>
      </c>
      <c r="AF996" s="55">
        <v>517920000</v>
      </c>
      <c r="AG996" s="55">
        <v>0</v>
      </c>
      <c r="AH996" s="55">
        <v>0</v>
      </c>
      <c r="AI996" s="55">
        <v>0</v>
      </c>
      <c r="AJ996" s="55">
        <v>5677950</v>
      </c>
      <c r="AK996" s="55">
        <v>1770690</v>
      </c>
      <c r="AL996" s="55">
        <v>44931</v>
      </c>
      <c r="AM996" s="55">
        <v>3023</v>
      </c>
      <c r="AN996" s="55">
        <v>10092900</v>
      </c>
      <c r="AO996" s="55">
        <v>8162100</v>
      </c>
      <c r="AQ996" s="55">
        <v>45759412272064</v>
      </c>
      <c r="AR996" s="55">
        <v>148846216000</v>
      </c>
      <c r="AS996" s="55">
        <v>7133980000</v>
      </c>
      <c r="AT996" s="55">
        <v>301807424000</v>
      </c>
      <c r="AU996" s="55">
        <f t="shared" si="774"/>
        <v>105399600</v>
      </c>
      <c r="AV996" s="99">
        <f t="shared" si="775"/>
        <v>29853996639.595997</v>
      </c>
    </row>
    <row r="997" spans="1:48">
      <c r="A997" s="92">
        <v>45133</v>
      </c>
      <c r="B997" s="55">
        <v>139305420000</v>
      </c>
      <c r="C997" s="55">
        <v>0</v>
      </c>
      <c r="D997" s="55">
        <v>0</v>
      </c>
      <c r="E997" s="55">
        <v>12329335000</v>
      </c>
      <c r="F997" s="55">
        <v>151634755000</v>
      </c>
      <c r="G997" s="55">
        <v>40941384</v>
      </c>
      <c r="H997" s="55">
        <v>199417000</v>
      </c>
      <c r="I997" s="55">
        <v>2055600000</v>
      </c>
      <c r="J997" s="55">
        <v>2255017000</v>
      </c>
      <c r="L997" s="55">
        <v>28020221000</v>
      </c>
      <c r="M997" s="55">
        <v>54841500000</v>
      </c>
      <c r="N997" s="55">
        <v>82861721000</v>
      </c>
      <c r="O997" s="55">
        <v>6057571000</v>
      </c>
      <c r="P997" s="55">
        <v>0</v>
      </c>
      <c r="Q997" s="55">
        <v>6057571000</v>
      </c>
      <c r="R997" s="55">
        <v>1470658000</v>
      </c>
      <c r="S997" s="55">
        <v>0</v>
      </c>
      <c r="T997" s="55">
        <v>1470658000</v>
      </c>
      <c r="U997" s="55">
        <v>35422000</v>
      </c>
      <c r="V997" s="55">
        <v>0</v>
      </c>
      <c r="W997" s="55">
        <v>35422000</v>
      </c>
      <c r="X997" s="55">
        <v>788000</v>
      </c>
      <c r="Y997" s="55">
        <v>39210000000</v>
      </c>
      <c r="Z997" s="55">
        <v>39210788000</v>
      </c>
      <c r="AA997" s="55">
        <v>1006000</v>
      </c>
      <c r="AB997" s="55">
        <v>0</v>
      </c>
      <c r="AC997" s="55">
        <v>1006000</v>
      </c>
      <c r="AD997" s="55">
        <v>508936000</v>
      </c>
      <c r="AE997" s="55">
        <v>0</v>
      </c>
      <c r="AF997" s="55">
        <v>508936000</v>
      </c>
      <c r="AG997" s="55">
        <v>0</v>
      </c>
      <c r="AH997" s="55">
        <v>0</v>
      </c>
      <c r="AI997" s="55">
        <v>0</v>
      </c>
      <c r="AJ997" s="55">
        <v>21219032</v>
      </c>
      <c r="AK997" s="55">
        <v>1262790</v>
      </c>
      <c r="AL997" s="55">
        <v>44932</v>
      </c>
      <c r="AM997" s="55">
        <v>1560</v>
      </c>
      <c r="AN997" s="55">
        <v>11163900</v>
      </c>
      <c r="AO997" s="55">
        <v>4212000</v>
      </c>
      <c r="AQ997" s="55">
        <v>42083589824666</v>
      </c>
      <c r="AR997" s="55">
        <v>469396132000</v>
      </c>
      <c r="AS997" s="55">
        <v>97083508070</v>
      </c>
      <c r="AT997" s="55">
        <v>248210383070</v>
      </c>
      <c r="AU997" s="55">
        <f t="shared" si="774"/>
        <v>78799106</v>
      </c>
      <c r="AV997" s="99">
        <f t="shared" si="775"/>
        <v>29932795745.595997</v>
      </c>
    </row>
    <row r="998" spans="1:48">
      <c r="A998" s="92">
        <v>45134</v>
      </c>
      <c r="B998" s="55">
        <v>231556716000</v>
      </c>
      <c r="C998" s="55">
        <v>40040710000</v>
      </c>
      <c r="D998" s="55">
        <v>0</v>
      </c>
      <c r="E998" s="55">
        <v>0</v>
      </c>
      <c r="F998" s="55">
        <v>271597426000</v>
      </c>
      <c r="G998" s="55">
        <v>73331305</v>
      </c>
      <c r="H998" s="55">
        <v>16496000</v>
      </c>
      <c r="I998" s="55">
        <v>20599100000</v>
      </c>
      <c r="J998" s="55">
        <v>20615596000</v>
      </c>
      <c r="L998" s="55">
        <v>7616247000</v>
      </c>
      <c r="M998" s="55">
        <v>7850500000</v>
      </c>
      <c r="N998" s="55">
        <v>15466747000</v>
      </c>
      <c r="O998" s="55">
        <v>1482980000</v>
      </c>
      <c r="P998" s="55">
        <v>0</v>
      </c>
      <c r="Q998" s="55">
        <v>1482980000</v>
      </c>
      <c r="R998" s="55">
        <v>1464666000</v>
      </c>
      <c r="S998" s="55">
        <v>0</v>
      </c>
      <c r="T998" s="55">
        <v>1464666000</v>
      </c>
      <c r="U998" s="55">
        <v>75406000</v>
      </c>
      <c r="V998" s="55">
        <v>0</v>
      </c>
      <c r="W998" s="55">
        <v>75406000</v>
      </c>
      <c r="X998" s="55">
        <v>0</v>
      </c>
      <c r="Y998" s="55">
        <v>0</v>
      </c>
      <c r="Z998" s="55">
        <v>0</v>
      </c>
      <c r="AA998" s="55">
        <v>14123000</v>
      </c>
      <c r="AB998" s="55">
        <v>0</v>
      </c>
      <c r="AC998" s="55">
        <v>14123000</v>
      </c>
      <c r="AD998" s="55">
        <v>564917000</v>
      </c>
      <c r="AE998" s="55">
        <v>0</v>
      </c>
      <c r="AF998" s="55">
        <v>564917000</v>
      </c>
      <c r="AG998" s="55">
        <v>0</v>
      </c>
      <c r="AH998" s="55">
        <v>0</v>
      </c>
      <c r="AI998" s="55">
        <v>0</v>
      </c>
      <c r="AJ998" s="55">
        <v>6334290</v>
      </c>
      <c r="AK998" s="55">
        <v>843390</v>
      </c>
      <c r="AL998" s="55">
        <v>44933</v>
      </c>
      <c r="AM998" s="55">
        <v>2504</v>
      </c>
      <c r="AN998" s="55">
        <v>12352200</v>
      </c>
      <c r="AO998" s="55">
        <v>6760800</v>
      </c>
      <c r="AQ998" s="55">
        <v>50919895212668</v>
      </c>
      <c r="AR998" s="55">
        <v>113819008000</v>
      </c>
      <c r="AS998" s="55">
        <v>29422980000</v>
      </c>
      <c r="AT998" s="55">
        <v>300513526000</v>
      </c>
      <c r="AU998" s="55">
        <f t="shared" si="774"/>
        <v>99621985</v>
      </c>
      <c r="AV998" s="99">
        <f t="shared" si="775"/>
        <v>30032417730.595997</v>
      </c>
    </row>
    <row r="999" spans="1:48">
      <c r="A999" s="92">
        <v>45135</v>
      </c>
      <c r="B999" s="55">
        <v>370642995000</v>
      </c>
      <c r="C999" s="55">
        <v>0</v>
      </c>
      <c r="D999" s="55">
        <v>0</v>
      </c>
      <c r="E999" s="55">
        <v>12201215000</v>
      </c>
      <c r="F999" s="55">
        <v>382844210000</v>
      </c>
      <c r="G999" s="55">
        <v>103367937</v>
      </c>
      <c r="H999" s="55">
        <v>13451123000</v>
      </c>
      <c r="I999" s="55">
        <v>24828000000</v>
      </c>
      <c r="J999" s="55">
        <v>38279123000</v>
      </c>
      <c r="L999" s="55">
        <v>13568136000</v>
      </c>
      <c r="M999" s="55">
        <v>0</v>
      </c>
      <c r="N999" s="55">
        <v>13568136000</v>
      </c>
      <c r="O999" s="55">
        <v>1668928000</v>
      </c>
      <c r="P999" s="55">
        <v>1852000000</v>
      </c>
      <c r="Q999" s="55">
        <v>3520928000</v>
      </c>
      <c r="R999" s="55">
        <v>1378067000</v>
      </c>
      <c r="S999" s="55">
        <v>0</v>
      </c>
      <c r="T999" s="55">
        <v>1378067000</v>
      </c>
      <c r="U999" s="55">
        <v>166411000</v>
      </c>
      <c r="V999" s="55">
        <v>0</v>
      </c>
      <c r="W999" s="55">
        <v>166411000</v>
      </c>
      <c r="X999" s="55">
        <v>453464000</v>
      </c>
      <c r="Y999" s="55">
        <v>0</v>
      </c>
      <c r="Z999" s="55">
        <v>453464000</v>
      </c>
      <c r="AA999" s="55">
        <v>348016000</v>
      </c>
      <c r="AB999" s="55">
        <v>0</v>
      </c>
      <c r="AC999" s="55">
        <v>348016000</v>
      </c>
      <c r="AD999" s="55">
        <v>521870000</v>
      </c>
      <c r="AE999" s="55">
        <v>1272600000</v>
      </c>
      <c r="AF999" s="55">
        <v>1794470000</v>
      </c>
      <c r="AG999" s="55">
        <v>740439000</v>
      </c>
      <c r="AH999" s="55">
        <v>2466450000</v>
      </c>
      <c r="AI999" s="55">
        <v>3206889000</v>
      </c>
      <c r="AJ999" s="55">
        <v>8963446</v>
      </c>
      <c r="AK999" s="55">
        <v>1458960</v>
      </c>
      <c r="AL999" s="55">
        <v>44933</v>
      </c>
      <c r="AM999" s="55">
        <v>3161</v>
      </c>
      <c r="AN999" s="55">
        <v>46810350</v>
      </c>
      <c r="AO999" s="55">
        <v>8534700</v>
      </c>
      <c r="AQ999" s="55">
        <v>49583885899870</v>
      </c>
      <c r="AR999" s="55">
        <v>122782078000</v>
      </c>
      <c r="AS999" s="55">
        <v>29327970000</v>
      </c>
      <c r="AT999" s="55">
        <v>412844160000</v>
      </c>
      <c r="AU999" s="55">
        <f t="shared" si="774"/>
        <v>169135393</v>
      </c>
      <c r="AV999" s="99">
        <f t="shared" si="775"/>
        <v>30201553123.595997</v>
      </c>
    </row>
    <row r="1000" spans="1:48">
      <c r="A1000" s="92">
        <v>45138</v>
      </c>
      <c r="B1000" s="55">
        <v>173668786000</v>
      </c>
      <c r="C1000" s="55">
        <v>0</v>
      </c>
      <c r="D1000" s="55">
        <v>0</v>
      </c>
      <c r="E1000" s="55">
        <v>0</v>
      </c>
      <c r="F1000" s="55">
        <v>173668786000</v>
      </c>
      <c r="G1000" s="55">
        <v>46890572</v>
      </c>
      <c r="H1000" s="55">
        <v>8983623000</v>
      </c>
      <c r="I1000" s="55">
        <v>29547600000</v>
      </c>
      <c r="J1000" s="55">
        <v>38531223000</v>
      </c>
      <c r="L1000" s="55">
        <v>18497669000</v>
      </c>
      <c r="M1000" s="55">
        <v>0</v>
      </c>
      <c r="N1000" s="55">
        <v>18497669000</v>
      </c>
      <c r="O1000" s="55">
        <v>5151127000</v>
      </c>
      <c r="P1000" s="55">
        <v>0</v>
      </c>
      <c r="Q1000" s="55">
        <v>5151127000</v>
      </c>
      <c r="R1000" s="55">
        <v>1627416000</v>
      </c>
      <c r="S1000" s="55">
        <v>0</v>
      </c>
      <c r="T1000" s="55">
        <v>1627416000</v>
      </c>
      <c r="U1000" s="55">
        <v>132819000</v>
      </c>
      <c r="V1000" s="55">
        <v>0</v>
      </c>
      <c r="W1000" s="55">
        <v>132819000</v>
      </c>
      <c r="X1000" s="55">
        <v>488702000</v>
      </c>
      <c r="Y1000" s="55">
        <v>0</v>
      </c>
      <c r="Z1000" s="55">
        <v>488702000</v>
      </c>
      <c r="AA1000" s="55">
        <v>66455000</v>
      </c>
      <c r="AB1000" s="55">
        <v>0</v>
      </c>
      <c r="AC1000" s="55">
        <v>66455000</v>
      </c>
      <c r="AD1000" s="55">
        <v>515520000</v>
      </c>
      <c r="AE1000" s="55">
        <v>0</v>
      </c>
      <c r="AF1000" s="55">
        <v>515520000</v>
      </c>
      <c r="AG1000" s="55">
        <v>0</v>
      </c>
      <c r="AH1000" s="55">
        <v>0</v>
      </c>
      <c r="AI1000" s="55">
        <v>0</v>
      </c>
      <c r="AJ1000" s="55">
        <v>9148608</v>
      </c>
      <c r="AK1000" s="55">
        <v>1195650</v>
      </c>
      <c r="AL1000" s="55">
        <v>44933</v>
      </c>
      <c r="AM1000" s="55">
        <v>1868</v>
      </c>
      <c r="AN1000" s="55">
        <v>14756850</v>
      </c>
      <c r="AO1000" s="55">
        <v>5043600</v>
      </c>
      <c r="AQ1000" s="55">
        <v>54633009066276</v>
      </c>
      <c r="AR1000" s="55">
        <v>158087960000</v>
      </c>
      <c r="AS1000" s="55">
        <v>30935970000</v>
      </c>
      <c r="AT1000" s="55">
        <v>204078346000</v>
      </c>
      <c r="AU1000" s="55">
        <f t="shared" ref="AU1000:AU1003" si="776">G1000+AJ1000+AK1000+AN1000+AO1000+AP1000</f>
        <v>77035280</v>
      </c>
      <c r="AV1000" s="99">
        <f t="shared" ref="AV1000:AV1003" si="777">AV999+AU1000</f>
        <v>30278588403.595997</v>
      </c>
    </row>
    <row r="1001" spans="1:48">
      <c r="A1001" s="92">
        <v>45139</v>
      </c>
      <c r="B1001" s="55">
        <v>86562438000</v>
      </c>
      <c r="C1001" s="55">
        <v>15017280000</v>
      </c>
      <c r="D1001" s="55">
        <v>0</v>
      </c>
      <c r="E1001" s="55">
        <v>0</v>
      </c>
      <c r="F1001" s="55">
        <v>101579718000</v>
      </c>
      <c r="G1001" s="55">
        <v>27426524</v>
      </c>
      <c r="H1001" s="55">
        <v>42622260000</v>
      </c>
      <c r="I1001" s="55">
        <v>51021000000</v>
      </c>
      <c r="J1001" s="55">
        <v>93643260000</v>
      </c>
      <c r="L1001" s="55">
        <v>27707165000</v>
      </c>
      <c r="M1001" s="55">
        <v>0</v>
      </c>
      <c r="N1001" s="55">
        <v>27707165000</v>
      </c>
      <c r="O1001" s="55">
        <v>413820000</v>
      </c>
      <c r="P1001" s="55">
        <v>0</v>
      </c>
      <c r="Q1001" s="55">
        <v>413820000</v>
      </c>
      <c r="R1001" s="55">
        <v>2560340000</v>
      </c>
      <c r="S1001" s="55">
        <v>0</v>
      </c>
      <c r="T1001" s="55">
        <v>2560340000</v>
      </c>
      <c r="U1001" s="55">
        <v>230747000</v>
      </c>
      <c r="V1001" s="55">
        <v>0</v>
      </c>
      <c r="W1001" s="55">
        <v>230747000</v>
      </c>
      <c r="X1001" s="55">
        <v>417223000</v>
      </c>
      <c r="Y1001" s="55">
        <v>0</v>
      </c>
      <c r="Z1001" s="55">
        <v>417223000</v>
      </c>
      <c r="AA1001" s="55">
        <v>528116000</v>
      </c>
      <c r="AB1001" s="55">
        <v>0</v>
      </c>
      <c r="AC1001" s="55">
        <v>528116000</v>
      </c>
      <c r="AD1001" s="55">
        <v>583322000</v>
      </c>
      <c r="AE1001" s="55">
        <v>0</v>
      </c>
      <c r="AF1001" s="55">
        <v>583322000</v>
      </c>
      <c r="AG1001" s="55">
        <v>0</v>
      </c>
      <c r="AH1001" s="55">
        <v>779100000</v>
      </c>
      <c r="AI1001" s="55">
        <v>779100000</v>
      </c>
      <c r="AJ1001" s="55">
        <v>17430821</v>
      </c>
      <c r="AK1001" s="55">
        <v>755070</v>
      </c>
      <c r="AL1001" s="55">
        <v>44933</v>
      </c>
      <c r="AM1001" s="55">
        <v>1491</v>
      </c>
      <c r="AN1001" s="55">
        <v>16177200</v>
      </c>
      <c r="AO1001" s="55">
        <v>4025700</v>
      </c>
      <c r="AQ1001" s="55">
        <v>64893451762478</v>
      </c>
      <c r="AR1001" s="55">
        <v>308036024000</v>
      </c>
      <c r="AS1001" s="55">
        <v>52419620000</v>
      </c>
      <c r="AT1001" s="55">
        <v>154248318000</v>
      </c>
      <c r="AU1001" s="55">
        <f t="shared" si="776"/>
        <v>65815315</v>
      </c>
      <c r="AV1001" s="99">
        <f t="shared" si="777"/>
        <v>30344403718.595997</v>
      </c>
    </row>
    <row r="1002" spans="1:48">
      <c r="A1002" s="92">
        <v>45140</v>
      </c>
      <c r="B1002" s="55">
        <v>267522924000</v>
      </c>
      <c r="C1002" s="55">
        <v>14483530000</v>
      </c>
      <c r="D1002" s="55">
        <v>0</v>
      </c>
      <c r="E1002" s="55">
        <v>0</v>
      </c>
      <c r="F1002" s="55">
        <v>282006454000</v>
      </c>
      <c r="G1002" s="55">
        <v>76141743</v>
      </c>
      <c r="H1002" s="55">
        <v>2315468000</v>
      </c>
      <c r="I1002" s="55">
        <v>152933900000</v>
      </c>
      <c r="J1002" s="55">
        <v>155249368000</v>
      </c>
      <c r="L1002" s="55">
        <v>435220000</v>
      </c>
      <c r="M1002" s="55">
        <v>0</v>
      </c>
      <c r="N1002" s="55">
        <v>435220000</v>
      </c>
      <c r="O1002" s="55">
        <v>4544287000</v>
      </c>
      <c r="P1002" s="55">
        <v>0</v>
      </c>
      <c r="Q1002" s="55">
        <v>4544287000</v>
      </c>
      <c r="R1002" s="55">
        <v>2073222000</v>
      </c>
      <c r="S1002" s="55">
        <v>0</v>
      </c>
      <c r="T1002" s="55">
        <v>2073222000</v>
      </c>
      <c r="U1002" s="55">
        <v>236823000</v>
      </c>
      <c r="V1002" s="55">
        <v>0</v>
      </c>
      <c r="W1002" s="55">
        <v>236823000</v>
      </c>
      <c r="X1002" s="55">
        <v>387526000</v>
      </c>
      <c r="Y1002" s="55">
        <v>0</v>
      </c>
      <c r="Z1002" s="55">
        <v>387526000</v>
      </c>
      <c r="AA1002" s="55">
        <v>241520000</v>
      </c>
      <c r="AB1002" s="55">
        <v>0</v>
      </c>
      <c r="AC1002" s="55">
        <v>241520000</v>
      </c>
      <c r="AD1002" s="55">
        <v>582472000</v>
      </c>
      <c r="AE1002" s="55">
        <v>0</v>
      </c>
      <c r="AF1002" s="55">
        <v>582472000</v>
      </c>
      <c r="AG1002" s="55">
        <v>0</v>
      </c>
      <c r="AH1002" s="55">
        <v>0</v>
      </c>
      <c r="AI1002" s="55">
        <v>0</v>
      </c>
      <c r="AJ1002" s="55">
        <v>28696288</v>
      </c>
      <c r="AK1002" s="55">
        <v>1813440</v>
      </c>
      <c r="AL1002" s="55">
        <v>44933</v>
      </c>
      <c r="AM1002" s="55">
        <v>2758</v>
      </c>
      <c r="AN1002" s="55">
        <v>15055200</v>
      </c>
      <c r="AO1002" s="55">
        <v>7446600</v>
      </c>
      <c r="AQ1002" s="55">
        <v>43904181471680</v>
      </c>
      <c r="AR1002" s="55">
        <v>445218896000</v>
      </c>
      <c r="AS1002" s="55">
        <v>49694680000</v>
      </c>
      <c r="AT1002" s="55">
        <v>331184174000</v>
      </c>
      <c r="AU1002" s="55">
        <f t="shared" si="776"/>
        <v>129153271</v>
      </c>
      <c r="AV1002" s="99">
        <f t="shared" si="777"/>
        <v>30473556989.595997</v>
      </c>
    </row>
    <row r="1003" spans="1:48">
      <c r="A1003" s="92">
        <v>45141</v>
      </c>
      <c r="B1003" s="55">
        <v>210045750000.16006</v>
      </c>
      <c r="C1003" s="55">
        <v>14553660000</v>
      </c>
      <c r="D1003" s="55">
        <v>0</v>
      </c>
      <c r="E1003" s="55">
        <v>0</v>
      </c>
      <c r="F1003" s="55">
        <v>224599410000.16006</v>
      </c>
      <c r="G1003" s="55">
        <v>60641841</v>
      </c>
      <c r="H1003" s="55">
        <v>4285729000</v>
      </c>
      <c r="I1003" s="55">
        <v>29222600000</v>
      </c>
      <c r="J1003" s="55">
        <v>33508329000</v>
      </c>
      <c r="L1003" s="55">
        <v>11307135000</v>
      </c>
      <c r="M1003" s="55">
        <v>10523100000</v>
      </c>
      <c r="N1003" s="55">
        <v>21830235000</v>
      </c>
      <c r="O1003" s="55">
        <v>52667000</v>
      </c>
      <c r="P1003" s="55">
        <v>0</v>
      </c>
      <c r="Q1003" s="55">
        <v>52667000</v>
      </c>
      <c r="R1003" s="55">
        <v>1004996000</v>
      </c>
      <c r="S1003" s="55">
        <v>0</v>
      </c>
      <c r="T1003" s="55">
        <v>1004996000</v>
      </c>
      <c r="U1003" s="55">
        <v>70837000</v>
      </c>
      <c r="V1003" s="55">
        <v>0</v>
      </c>
      <c r="W1003" s="55">
        <v>70837000</v>
      </c>
      <c r="X1003" s="55">
        <v>388815000</v>
      </c>
      <c r="Y1003" s="55">
        <v>0</v>
      </c>
      <c r="Z1003" s="55">
        <v>388815000</v>
      </c>
      <c r="AA1003" s="55">
        <v>24787000</v>
      </c>
      <c r="AB1003" s="55">
        <v>0</v>
      </c>
      <c r="AC1003" s="55">
        <v>24787000</v>
      </c>
      <c r="AD1003" s="55">
        <v>580334000</v>
      </c>
      <c r="AE1003" s="55">
        <v>0</v>
      </c>
      <c r="AF1003" s="55">
        <v>580334000</v>
      </c>
      <c r="AG1003" s="55">
        <v>0</v>
      </c>
      <c r="AH1003" s="55">
        <v>0</v>
      </c>
      <c r="AI1003" s="55">
        <v>0</v>
      </c>
      <c r="AJ1003" s="55">
        <v>9067478</v>
      </c>
      <c r="AK1003" s="55">
        <v>1079580</v>
      </c>
      <c r="AL1003" s="55">
        <v>44933</v>
      </c>
      <c r="AM1003" s="55">
        <v>2210</v>
      </c>
      <c r="AN1003" s="55">
        <v>13790400</v>
      </c>
      <c r="AO1003" s="55">
        <v>5967000</v>
      </c>
      <c r="AQ1003" s="55">
        <v>48795456999282</v>
      </c>
      <c r="AR1003" s="55">
        <v>182595518000</v>
      </c>
      <c r="AS1003" s="55">
        <v>98355680000</v>
      </c>
      <c r="AT1003" s="55">
        <v>321847526000.16003</v>
      </c>
      <c r="AU1003" s="55">
        <f t="shared" si="776"/>
        <v>90546299</v>
      </c>
      <c r="AV1003" s="99">
        <f t="shared" si="777"/>
        <v>30564103288.595997</v>
      </c>
    </row>
    <row r="1004" spans="1:48">
      <c r="A1004" s="92">
        <v>45142</v>
      </c>
      <c r="B1004" s="55">
        <v>227909878000</v>
      </c>
      <c r="C1004" s="55">
        <v>0</v>
      </c>
      <c r="D1004" s="55">
        <v>0</v>
      </c>
      <c r="E1004" s="55">
        <v>0</v>
      </c>
      <c r="F1004" s="55">
        <v>227909878000</v>
      </c>
      <c r="G1004" s="55">
        <v>61535667</v>
      </c>
      <c r="H1004" s="55">
        <v>9724806000</v>
      </c>
      <c r="I1004" s="55">
        <v>77726500000</v>
      </c>
      <c r="J1004" s="55">
        <v>87451306000</v>
      </c>
      <c r="L1004" s="55">
        <v>26432608000</v>
      </c>
      <c r="M1004" s="55">
        <v>31416000000</v>
      </c>
      <c r="N1004" s="55">
        <v>57848608000</v>
      </c>
      <c r="O1004" s="55">
        <v>11359000</v>
      </c>
      <c r="P1004" s="55">
        <v>0</v>
      </c>
      <c r="Q1004" s="55">
        <v>11359000</v>
      </c>
      <c r="R1004" s="55">
        <v>1155223000</v>
      </c>
      <c r="S1004" s="55">
        <v>0</v>
      </c>
      <c r="T1004" s="55">
        <v>1155223000</v>
      </c>
      <c r="U1004" s="55">
        <v>158976000</v>
      </c>
      <c r="V1004" s="55">
        <v>0</v>
      </c>
      <c r="W1004" s="55">
        <v>158976000</v>
      </c>
      <c r="X1004" s="55">
        <v>440300000</v>
      </c>
      <c r="Y1004" s="55">
        <v>0</v>
      </c>
      <c r="Z1004" s="55">
        <v>440300000</v>
      </c>
      <c r="AA1004" s="55">
        <v>34891000</v>
      </c>
      <c r="AB1004" s="55">
        <v>0</v>
      </c>
      <c r="AC1004" s="55">
        <v>34891000</v>
      </c>
      <c r="AD1004" s="55">
        <v>518232000</v>
      </c>
      <c r="AE1004" s="55">
        <v>0</v>
      </c>
      <c r="AF1004" s="55">
        <v>518232000</v>
      </c>
      <c r="AG1004" s="55">
        <v>0</v>
      </c>
      <c r="AH1004" s="55">
        <v>0</v>
      </c>
      <c r="AI1004" s="55">
        <v>0</v>
      </c>
      <c r="AJ1004" s="55">
        <v>23801101</v>
      </c>
      <c r="AK1004" s="55">
        <v>926798.7</v>
      </c>
      <c r="AL1004" s="55">
        <v>44933</v>
      </c>
      <c r="AM1004" s="55">
        <v>2131</v>
      </c>
      <c r="AN1004" s="55">
        <v>47009250</v>
      </c>
      <c r="AO1004" s="55">
        <v>5753700</v>
      </c>
      <c r="AQ1004" s="55">
        <v>52655747088000</v>
      </c>
      <c r="AR1004" s="55">
        <v>305614600000</v>
      </c>
      <c r="AS1004" s="55">
        <v>258155015000</v>
      </c>
      <c r="AT1004" s="55">
        <v>486064893000</v>
      </c>
      <c r="AU1004" s="55">
        <f t="shared" ref="AU1004:AU1023" si="778">G1004+AJ1004+AK1004+AN1004+AO1004+AP1004</f>
        <v>139026516.69999999</v>
      </c>
      <c r="AV1004" s="99">
        <f t="shared" ref="AV1004:AV1023" si="779">AV1003+AU1004</f>
        <v>30703129805.295998</v>
      </c>
    </row>
    <row r="1005" spans="1:48">
      <c r="A1005" s="92">
        <v>45145</v>
      </c>
      <c r="B1005" s="55">
        <v>113527040000</v>
      </c>
      <c r="C1005" s="55">
        <v>0</v>
      </c>
      <c r="D1005" s="55">
        <v>0</v>
      </c>
      <c r="E1005" s="55">
        <v>0</v>
      </c>
      <c r="F1005" s="55">
        <v>113527040000</v>
      </c>
      <c r="G1005" s="55">
        <v>30652301</v>
      </c>
      <c r="H1005" s="55">
        <v>7225391000</v>
      </c>
      <c r="I1005" s="55">
        <v>34028400000</v>
      </c>
      <c r="J1005" s="55">
        <v>41253791000</v>
      </c>
      <c r="L1005" s="55">
        <v>10773887000</v>
      </c>
      <c r="M1005" s="55">
        <v>2672000000</v>
      </c>
      <c r="N1005" s="55">
        <v>13445887000</v>
      </c>
      <c r="O1005" s="55">
        <v>4040983000</v>
      </c>
      <c r="P1005" s="55">
        <v>0</v>
      </c>
      <c r="Q1005" s="55">
        <v>4040983000</v>
      </c>
      <c r="R1005" s="55">
        <v>1015388000</v>
      </c>
      <c r="S1005" s="55">
        <v>0</v>
      </c>
      <c r="T1005" s="55">
        <v>1015388000</v>
      </c>
      <c r="U1005" s="55">
        <v>67626000</v>
      </c>
      <c r="V1005" s="55">
        <v>0</v>
      </c>
      <c r="W1005" s="55">
        <v>67626000</v>
      </c>
      <c r="X1005" s="55">
        <v>410514000</v>
      </c>
      <c r="Y1005" s="55">
        <v>0</v>
      </c>
      <c r="Z1005" s="55">
        <v>410514000</v>
      </c>
      <c r="AA1005" s="55">
        <v>196280000</v>
      </c>
      <c r="AB1005" s="55">
        <v>0</v>
      </c>
      <c r="AC1005" s="55">
        <v>196280000</v>
      </c>
      <c r="AD1005" s="55">
        <v>563350000</v>
      </c>
      <c r="AE1005" s="55">
        <v>0</v>
      </c>
      <c r="AF1005" s="55">
        <v>563350000</v>
      </c>
      <c r="AG1005" s="55">
        <v>0</v>
      </c>
      <c r="AH1005" s="55">
        <v>0</v>
      </c>
      <c r="AI1005" s="55">
        <v>0</v>
      </c>
      <c r="AJ1005" s="55">
        <v>9229761</v>
      </c>
      <c r="AK1005" s="55">
        <v>628680</v>
      </c>
      <c r="AL1005" s="55">
        <v>44933</v>
      </c>
      <c r="AM1005" s="55">
        <v>960</v>
      </c>
      <c r="AN1005" s="55">
        <v>15113850</v>
      </c>
      <c r="AO1005" s="55">
        <v>2592000</v>
      </c>
      <c r="AQ1005" s="55">
        <v>59838108091600</v>
      </c>
      <c r="AR1005" s="55">
        <v>158001484000</v>
      </c>
      <c r="AS1005" s="55">
        <v>99108901000</v>
      </c>
      <c r="AT1005" s="55">
        <v>212635941000</v>
      </c>
      <c r="AU1005" s="55">
        <f t="shared" si="778"/>
        <v>58216592</v>
      </c>
      <c r="AV1005" s="99">
        <f t="shared" si="779"/>
        <v>30761346397.295998</v>
      </c>
    </row>
    <row r="1006" spans="1:48">
      <c r="A1006" s="92">
        <v>45146</v>
      </c>
      <c r="B1006" s="55">
        <v>185709465000</v>
      </c>
      <c r="C1006" s="55">
        <v>0</v>
      </c>
      <c r="D1006" s="55">
        <v>0</v>
      </c>
      <c r="E1006" s="55">
        <v>0</v>
      </c>
      <c r="F1006" s="55">
        <v>185709465000</v>
      </c>
      <c r="G1006" s="55">
        <v>50141556</v>
      </c>
      <c r="H1006" s="55">
        <v>36910345000</v>
      </c>
      <c r="I1006" s="55">
        <v>2146700000</v>
      </c>
      <c r="J1006" s="55">
        <v>39057045000</v>
      </c>
      <c r="L1006" s="55">
        <v>8275353000</v>
      </c>
      <c r="M1006" s="55">
        <v>13287500000</v>
      </c>
      <c r="N1006" s="55">
        <v>21562853000</v>
      </c>
      <c r="O1006" s="55">
        <v>675072000</v>
      </c>
      <c r="P1006" s="55">
        <v>0</v>
      </c>
      <c r="Q1006" s="55">
        <v>675072000</v>
      </c>
      <c r="R1006" s="55">
        <v>1618864000</v>
      </c>
      <c r="S1006" s="55">
        <v>0</v>
      </c>
      <c r="T1006" s="55">
        <v>1618864000</v>
      </c>
      <c r="U1006" s="55">
        <v>575159000</v>
      </c>
      <c r="V1006" s="55">
        <v>0</v>
      </c>
      <c r="W1006" s="55">
        <v>575159000</v>
      </c>
      <c r="X1006" s="55">
        <v>410142000</v>
      </c>
      <c r="Y1006" s="55">
        <v>0</v>
      </c>
      <c r="Z1006" s="55">
        <v>410142000</v>
      </c>
      <c r="AA1006" s="55">
        <v>41025000</v>
      </c>
      <c r="AB1006" s="55">
        <v>0</v>
      </c>
      <c r="AC1006" s="55">
        <v>41025000</v>
      </c>
      <c r="AD1006" s="55">
        <v>562696000</v>
      </c>
      <c r="AE1006" s="55">
        <v>0</v>
      </c>
      <c r="AF1006" s="55">
        <v>562696000</v>
      </c>
      <c r="AG1006" s="55">
        <v>0</v>
      </c>
      <c r="AH1006" s="55">
        <v>0</v>
      </c>
      <c r="AI1006" s="55">
        <v>0</v>
      </c>
      <c r="AJ1006" s="55">
        <v>8077571</v>
      </c>
      <c r="AK1006" s="55">
        <v>864090</v>
      </c>
      <c r="AL1006" s="55">
        <v>44933</v>
      </c>
      <c r="AM1006" s="55">
        <v>1975</v>
      </c>
      <c r="AN1006" s="55">
        <v>14611500</v>
      </c>
      <c r="AO1006" s="55">
        <v>5332500</v>
      </c>
      <c r="AQ1006" s="55">
        <v>57135866887200</v>
      </c>
      <c r="AR1006" s="55">
        <v>145607222000</v>
      </c>
      <c r="AS1006" s="55">
        <v>81359566000</v>
      </c>
      <c r="AT1006" s="55">
        <v>267069031000</v>
      </c>
      <c r="AU1006" s="55">
        <f t="shared" si="778"/>
        <v>79027217</v>
      </c>
      <c r="AV1006" s="99">
        <f t="shared" si="779"/>
        <v>30840373614.295998</v>
      </c>
    </row>
    <row r="1007" spans="1:48">
      <c r="A1007" s="92">
        <v>45147</v>
      </c>
      <c r="B1007" s="55">
        <v>40480185000</v>
      </c>
      <c r="C1007" s="55">
        <v>0</v>
      </c>
      <c r="D1007" s="55">
        <v>0</v>
      </c>
      <c r="E1007" s="55">
        <v>0</v>
      </c>
      <c r="F1007" s="55">
        <v>40480185000</v>
      </c>
      <c r="G1007" s="55">
        <v>10929650</v>
      </c>
      <c r="H1007" s="55">
        <v>1928396000</v>
      </c>
      <c r="I1007" s="55">
        <v>136821100000</v>
      </c>
      <c r="J1007" s="55">
        <v>138749496000</v>
      </c>
      <c r="L1007" s="55">
        <v>310342000</v>
      </c>
      <c r="M1007" s="55">
        <v>20992000000</v>
      </c>
      <c r="N1007" s="55">
        <v>21302342000</v>
      </c>
      <c r="O1007" s="55">
        <v>2740554000</v>
      </c>
      <c r="P1007" s="55">
        <v>0</v>
      </c>
      <c r="Q1007" s="55">
        <v>2740554000</v>
      </c>
      <c r="R1007" s="55">
        <v>1854636000</v>
      </c>
      <c r="S1007" s="55">
        <v>0</v>
      </c>
      <c r="T1007" s="55">
        <v>1854636000</v>
      </c>
      <c r="U1007" s="55">
        <v>50504000</v>
      </c>
      <c r="V1007" s="55">
        <v>0</v>
      </c>
      <c r="W1007" s="55">
        <v>50504000</v>
      </c>
      <c r="X1007" s="55">
        <v>2451000</v>
      </c>
      <c r="Y1007" s="55">
        <v>0</v>
      </c>
      <c r="Z1007" s="55">
        <v>2451000</v>
      </c>
      <c r="AA1007" s="55">
        <v>631902000</v>
      </c>
      <c r="AB1007" s="55">
        <v>0</v>
      </c>
      <c r="AC1007" s="55">
        <v>631902000</v>
      </c>
      <c r="AD1007" s="55">
        <v>10960000</v>
      </c>
      <c r="AE1007" s="55">
        <v>0</v>
      </c>
      <c r="AF1007" s="55">
        <v>10960000</v>
      </c>
      <c r="AG1007" s="55">
        <v>0</v>
      </c>
      <c r="AH1007" s="55">
        <v>0</v>
      </c>
      <c r="AI1007" s="55">
        <v>0</v>
      </c>
      <c r="AJ1007" s="55">
        <v>29219570</v>
      </c>
      <c r="AK1007" s="55">
        <v>233130</v>
      </c>
      <c r="AL1007" s="55">
        <v>44933</v>
      </c>
      <c r="AM1007" s="55">
        <v>2377</v>
      </c>
      <c r="AN1007" s="55">
        <v>17959650</v>
      </c>
      <c r="AO1007" s="55">
        <v>6417900</v>
      </c>
      <c r="AQ1007" s="55">
        <v>49534149374000</v>
      </c>
      <c r="AR1007" s="55">
        <v>353180604000</v>
      </c>
      <c r="AS1007" s="55">
        <v>323276525000</v>
      </c>
      <c r="AT1007" s="55">
        <v>363756710000</v>
      </c>
      <c r="AU1007" s="55">
        <f t="shared" si="778"/>
        <v>64759900</v>
      </c>
      <c r="AV1007" s="99">
        <f t="shared" si="779"/>
        <v>30905133514.295998</v>
      </c>
    </row>
    <row r="1008" spans="1:48">
      <c r="A1008" s="92">
        <v>45148</v>
      </c>
      <c r="B1008" s="55">
        <v>48917535000</v>
      </c>
      <c r="C1008" s="55">
        <v>0</v>
      </c>
      <c r="D1008" s="55">
        <v>0</v>
      </c>
      <c r="E1008" s="55">
        <v>0</v>
      </c>
      <c r="F1008" s="55">
        <v>48917535000</v>
      </c>
      <c r="G1008" s="55">
        <v>13207734</v>
      </c>
      <c r="H1008" s="55">
        <v>5368150000</v>
      </c>
      <c r="I1008" s="55">
        <v>10618500000</v>
      </c>
      <c r="J1008" s="55">
        <v>15986650000</v>
      </c>
      <c r="L1008" s="55">
        <v>20603082000</v>
      </c>
      <c r="M1008" s="55">
        <v>18254000000</v>
      </c>
      <c r="N1008" s="55">
        <v>38857082000</v>
      </c>
      <c r="O1008" s="55">
        <v>1794500000</v>
      </c>
      <c r="P1008" s="55">
        <v>0</v>
      </c>
      <c r="Q1008" s="55">
        <v>1794500000</v>
      </c>
      <c r="R1008" s="55">
        <v>1189728000</v>
      </c>
      <c r="S1008" s="55">
        <v>0</v>
      </c>
      <c r="T1008" s="55">
        <v>1189728000</v>
      </c>
      <c r="U1008" s="55">
        <v>68596000</v>
      </c>
      <c r="V1008" s="55">
        <v>0</v>
      </c>
      <c r="W1008" s="55">
        <v>68596000</v>
      </c>
      <c r="X1008" s="55">
        <v>408683000</v>
      </c>
      <c r="Y1008" s="55">
        <v>0</v>
      </c>
      <c r="Z1008" s="55">
        <v>408683000</v>
      </c>
      <c r="AA1008" s="55">
        <v>137036000</v>
      </c>
      <c r="AB1008" s="55">
        <v>0</v>
      </c>
      <c r="AC1008" s="55">
        <v>137036000</v>
      </c>
      <c r="AD1008" s="55">
        <v>535490000</v>
      </c>
      <c r="AE1008" s="55">
        <v>0</v>
      </c>
      <c r="AF1008" s="55">
        <v>535490000</v>
      </c>
      <c r="AG1008" s="55">
        <v>0</v>
      </c>
      <c r="AH1008" s="55">
        <v>0</v>
      </c>
      <c r="AI1008" s="55">
        <v>0</v>
      </c>
      <c r="AJ1008" s="55">
        <v>8448419</v>
      </c>
      <c r="AK1008" s="55">
        <v>714450</v>
      </c>
      <c r="AL1008" s="55">
        <v>44933</v>
      </c>
      <c r="AM1008" s="55">
        <v>1552</v>
      </c>
      <c r="AN1008" s="55">
        <v>17515950</v>
      </c>
      <c r="AO1008" s="55">
        <v>4190400</v>
      </c>
      <c r="AQ1008" s="55">
        <v>47475758240000</v>
      </c>
      <c r="AR1008" s="55">
        <v>448622272000</v>
      </c>
      <c r="AS1008" s="55">
        <v>89258875000</v>
      </c>
      <c r="AT1008" s="55">
        <v>138176410000</v>
      </c>
      <c r="AU1008" s="55">
        <f t="shared" si="778"/>
        <v>44076953</v>
      </c>
      <c r="AV1008" s="99">
        <f t="shared" si="779"/>
        <v>30949210467.295998</v>
      </c>
    </row>
    <row r="1009" spans="1:48">
      <c r="A1009" s="92">
        <v>45149</v>
      </c>
      <c r="B1009" s="55">
        <v>75042740000</v>
      </c>
      <c r="C1009" s="55">
        <v>0</v>
      </c>
      <c r="D1009" s="55">
        <v>0</v>
      </c>
      <c r="E1009" s="55">
        <v>0</v>
      </c>
      <c r="F1009" s="55">
        <v>75042740000</v>
      </c>
      <c r="G1009" s="55">
        <v>20261540</v>
      </c>
      <c r="H1009" s="55">
        <v>47701556000</v>
      </c>
      <c r="I1009" s="55">
        <v>34015100000</v>
      </c>
      <c r="J1009" s="55">
        <v>81716656000</v>
      </c>
      <c r="L1009" s="55">
        <v>3430240000</v>
      </c>
      <c r="M1009" s="55">
        <v>2580500000</v>
      </c>
      <c r="N1009" s="55">
        <v>6010740000</v>
      </c>
      <c r="O1009" s="55">
        <v>37856000</v>
      </c>
      <c r="P1009" s="55">
        <v>0</v>
      </c>
      <c r="Q1009" s="55">
        <v>37856000</v>
      </c>
      <c r="R1009" s="55">
        <v>738841000</v>
      </c>
      <c r="S1009" s="55">
        <v>0</v>
      </c>
      <c r="T1009" s="55">
        <v>738841000</v>
      </c>
      <c r="U1009" s="55">
        <v>99784000</v>
      </c>
      <c r="V1009" s="55">
        <v>0</v>
      </c>
      <c r="W1009" s="55">
        <v>99784000</v>
      </c>
      <c r="X1009" s="55">
        <v>388320000</v>
      </c>
      <c r="Y1009" s="55">
        <v>0</v>
      </c>
      <c r="Z1009" s="55">
        <v>388320000</v>
      </c>
      <c r="AA1009" s="55">
        <v>26660000</v>
      </c>
      <c r="AB1009" s="55">
        <v>0</v>
      </c>
      <c r="AC1009" s="55">
        <v>26660000</v>
      </c>
      <c r="AD1009" s="55">
        <v>593338000</v>
      </c>
      <c r="AE1009" s="55">
        <v>0</v>
      </c>
      <c r="AF1009" s="55">
        <v>593338000</v>
      </c>
      <c r="AG1009" s="55">
        <v>0</v>
      </c>
      <c r="AH1009" s="55">
        <v>0</v>
      </c>
      <c r="AI1009" s="55">
        <v>0</v>
      </c>
      <c r="AJ1009" s="55">
        <v>12313000</v>
      </c>
      <c r="AK1009" s="55">
        <v>834930</v>
      </c>
      <c r="AL1009" s="55">
        <v>44933</v>
      </c>
      <c r="AM1009" s="55">
        <v>1730</v>
      </c>
      <c r="AN1009" s="55">
        <v>55913850</v>
      </c>
      <c r="AO1009" s="55">
        <v>4671000</v>
      </c>
      <c r="AQ1009" s="55">
        <v>48917060000000</v>
      </c>
      <c r="AR1009" s="55">
        <v>350359620000</v>
      </c>
      <c r="AS1009" s="55">
        <v>127593375000</v>
      </c>
      <c r="AT1009" s="55">
        <v>202636115000</v>
      </c>
      <c r="AU1009" s="55">
        <f t="shared" si="778"/>
        <v>93994320</v>
      </c>
      <c r="AV1009" s="99">
        <f t="shared" si="779"/>
        <v>31043204787.295998</v>
      </c>
    </row>
    <row r="1010" spans="1:48">
      <c r="A1010" s="92">
        <v>45152</v>
      </c>
      <c r="B1010" s="55">
        <v>229658880000</v>
      </c>
      <c r="C1010" s="55">
        <v>59392785100</v>
      </c>
      <c r="D1010" s="55">
        <v>0</v>
      </c>
      <c r="E1010" s="55">
        <v>0</v>
      </c>
      <c r="F1010" s="55">
        <v>289051665100</v>
      </c>
      <c r="G1010" s="55">
        <v>78043950</v>
      </c>
      <c r="H1010" s="55">
        <v>4818216000</v>
      </c>
      <c r="I1010" s="55">
        <v>42504000000</v>
      </c>
      <c r="J1010" s="55">
        <v>47322216000</v>
      </c>
      <c r="L1010" s="55">
        <v>6056424000</v>
      </c>
      <c r="M1010" s="55">
        <v>52164000000</v>
      </c>
      <c r="N1010" s="55">
        <v>58220424000</v>
      </c>
      <c r="O1010" s="55">
        <v>1852108000</v>
      </c>
      <c r="P1010" s="55">
        <v>0</v>
      </c>
      <c r="Q1010" s="55">
        <v>1852108000</v>
      </c>
      <c r="R1010" s="55">
        <v>1127972000</v>
      </c>
      <c r="S1010" s="55">
        <v>0</v>
      </c>
      <c r="T1010" s="55">
        <v>1127972000</v>
      </c>
      <c r="U1010" s="55">
        <v>112783000</v>
      </c>
      <c r="V1010" s="55">
        <v>0</v>
      </c>
      <c r="W1010" s="55">
        <v>112783000</v>
      </c>
      <c r="X1010" s="55">
        <v>515490000</v>
      </c>
      <c r="Y1010" s="55">
        <v>0</v>
      </c>
      <c r="Z1010" s="55">
        <v>515490000</v>
      </c>
      <c r="AA1010" s="55">
        <v>126278000</v>
      </c>
      <c r="AB1010" s="55">
        <v>0</v>
      </c>
      <c r="AC1010" s="55">
        <v>126278000</v>
      </c>
      <c r="AD1010" s="55">
        <v>535640000</v>
      </c>
      <c r="AE1010" s="55">
        <v>0</v>
      </c>
      <c r="AF1010" s="55">
        <v>535640000</v>
      </c>
      <c r="AG1010" s="55">
        <v>0</v>
      </c>
      <c r="AH1010" s="55">
        <v>0</v>
      </c>
      <c r="AI1010" s="55">
        <v>0</v>
      </c>
      <c r="AJ1010" s="55">
        <v>18675890</v>
      </c>
      <c r="AK1010" s="55">
        <v>1645830</v>
      </c>
      <c r="AL1010" s="55">
        <v>44933</v>
      </c>
      <c r="AM1010" s="55">
        <v>2818</v>
      </c>
      <c r="AN1010" s="55">
        <v>16572450</v>
      </c>
      <c r="AO1010" s="55">
        <v>7608600</v>
      </c>
      <c r="AQ1010" s="55">
        <v>54200743020000</v>
      </c>
      <c r="AR1010" s="55">
        <v>372780464000</v>
      </c>
      <c r="AS1010" s="55">
        <v>205894291000</v>
      </c>
      <c r="AT1010" s="55">
        <v>494945956100</v>
      </c>
      <c r="AU1010" s="55">
        <f t="shared" si="778"/>
        <v>122546720</v>
      </c>
      <c r="AV1010" s="99">
        <f t="shared" si="779"/>
        <v>31165751507.295998</v>
      </c>
    </row>
    <row r="1011" spans="1:48">
      <c r="A1011" s="92">
        <v>45153</v>
      </c>
      <c r="B1011" s="55">
        <v>150387660000</v>
      </c>
      <c r="C1011" s="55">
        <v>59742296400</v>
      </c>
      <c r="D1011" s="55">
        <v>0</v>
      </c>
      <c r="E1011" s="55">
        <v>0</v>
      </c>
      <c r="F1011" s="55">
        <v>210129956400</v>
      </c>
      <c r="G1011" s="55">
        <v>56735088</v>
      </c>
      <c r="H1011" s="55">
        <v>1958093000</v>
      </c>
      <c r="I1011" s="55">
        <v>10651500000</v>
      </c>
      <c r="J1011" s="55">
        <v>12609593000</v>
      </c>
      <c r="L1011" s="55">
        <v>2914952000</v>
      </c>
      <c r="M1011" s="55">
        <v>13111200000</v>
      </c>
      <c r="N1011" s="55">
        <v>16026152000</v>
      </c>
      <c r="O1011" s="55">
        <v>2403472000</v>
      </c>
      <c r="P1011" s="55">
        <v>0</v>
      </c>
      <c r="Q1011" s="55">
        <v>2403472000</v>
      </c>
      <c r="R1011" s="55">
        <v>740461000</v>
      </c>
      <c r="S1011" s="55">
        <v>0</v>
      </c>
      <c r="T1011" s="55">
        <v>740461000</v>
      </c>
      <c r="U1011" s="55">
        <v>149861000</v>
      </c>
      <c r="V1011" s="55">
        <v>0</v>
      </c>
      <c r="W1011" s="55">
        <v>149861000</v>
      </c>
      <c r="X1011" s="55">
        <v>391200000</v>
      </c>
      <c r="Y1011" s="55">
        <v>0</v>
      </c>
      <c r="Z1011" s="55">
        <v>391200000</v>
      </c>
      <c r="AA1011" s="55">
        <v>5242000</v>
      </c>
      <c r="AB1011" s="55">
        <v>0</v>
      </c>
      <c r="AC1011" s="55">
        <v>5242000</v>
      </c>
      <c r="AD1011" s="55">
        <v>525388000</v>
      </c>
      <c r="AE1011" s="55">
        <v>0</v>
      </c>
      <c r="AF1011" s="55">
        <v>525388000</v>
      </c>
      <c r="AG1011" s="55">
        <v>0</v>
      </c>
      <c r="AH1011" s="55">
        <v>0</v>
      </c>
      <c r="AI1011" s="55">
        <v>0</v>
      </c>
      <c r="AJ1011" s="55">
        <v>5258862</v>
      </c>
      <c r="AK1011" s="55">
        <v>1575780</v>
      </c>
      <c r="AL1011" s="55">
        <v>44933</v>
      </c>
      <c r="AM1011" s="55">
        <v>2114</v>
      </c>
      <c r="AN1011" s="55">
        <v>13140150</v>
      </c>
      <c r="AO1011" s="55">
        <v>5707800</v>
      </c>
      <c r="AQ1011" s="55">
        <v>44933631386400</v>
      </c>
      <c r="AR1011" s="55">
        <v>325876748000</v>
      </c>
      <c r="AS1011" s="55">
        <v>57917509000</v>
      </c>
      <c r="AT1011" s="55">
        <v>268047465400</v>
      </c>
      <c r="AU1011" s="55">
        <f t="shared" si="778"/>
        <v>82417680</v>
      </c>
      <c r="AV1011" s="99">
        <f t="shared" si="779"/>
        <v>31248169187.295998</v>
      </c>
    </row>
    <row r="1012" spans="1:48">
      <c r="A1012" s="92">
        <v>45154</v>
      </c>
      <c r="B1012" s="55">
        <v>96399892000</v>
      </c>
      <c r="C1012" s="55">
        <v>24166077100</v>
      </c>
      <c r="D1012" s="55">
        <v>0</v>
      </c>
      <c r="E1012" s="55">
        <v>0</v>
      </c>
      <c r="F1012" s="55">
        <v>120565969100</v>
      </c>
      <c r="G1012" s="55">
        <v>32552812</v>
      </c>
      <c r="H1012" s="55">
        <v>11644575000</v>
      </c>
      <c r="I1012" s="55">
        <v>23606400000</v>
      </c>
      <c r="J1012" s="55">
        <v>35250975000</v>
      </c>
      <c r="L1012" s="55">
        <v>22766835000</v>
      </c>
      <c r="M1012" s="55">
        <v>0</v>
      </c>
      <c r="N1012" s="55">
        <v>22766835000</v>
      </c>
      <c r="O1012" s="55">
        <v>4329753000</v>
      </c>
      <c r="P1012" s="55">
        <v>0</v>
      </c>
      <c r="Q1012" s="55">
        <v>4329753000</v>
      </c>
      <c r="R1012" s="55">
        <v>2037393000</v>
      </c>
      <c r="S1012" s="55">
        <v>0</v>
      </c>
      <c r="T1012" s="55">
        <v>2037393000</v>
      </c>
      <c r="U1012" s="55">
        <v>30762000</v>
      </c>
      <c r="V1012" s="55">
        <v>0</v>
      </c>
      <c r="W1012" s="55">
        <v>30762000</v>
      </c>
      <c r="X1012" s="55">
        <v>399960000</v>
      </c>
      <c r="Y1012" s="55">
        <v>0</v>
      </c>
      <c r="Z1012" s="55">
        <v>399960000</v>
      </c>
      <c r="AA1012" s="55">
        <v>87050000</v>
      </c>
      <c r="AB1012" s="55">
        <v>0</v>
      </c>
      <c r="AC1012" s="55">
        <v>87050000</v>
      </c>
      <c r="AD1012" s="55">
        <v>587430000</v>
      </c>
      <c r="AE1012" s="55">
        <v>0</v>
      </c>
      <c r="AF1012" s="55">
        <v>587430000</v>
      </c>
      <c r="AG1012" s="55">
        <v>0</v>
      </c>
      <c r="AH1012" s="55">
        <v>0</v>
      </c>
      <c r="AI1012" s="55">
        <v>0</v>
      </c>
      <c r="AJ1012" s="55">
        <v>8772598</v>
      </c>
      <c r="AK1012" s="55">
        <v>977940</v>
      </c>
      <c r="AL1012" s="55">
        <v>44933</v>
      </c>
      <c r="AM1012" s="55">
        <v>4602</v>
      </c>
      <c r="AN1012" s="55">
        <v>12681150</v>
      </c>
      <c r="AO1012" s="55">
        <v>12425400</v>
      </c>
      <c r="AQ1012" s="55">
        <v>48028152830000</v>
      </c>
      <c r="AR1012" s="55">
        <v>254576400000</v>
      </c>
      <c r="AS1012" s="55">
        <v>100417238000</v>
      </c>
      <c r="AT1012" s="55">
        <v>220983207100</v>
      </c>
      <c r="AU1012" s="55">
        <f t="shared" si="778"/>
        <v>67409900</v>
      </c>
      <c r="AV1012" s="99">
        <f t="shared" si="779"/>
        <v>31315579087.295998</v>
      </c>
    </row>
    <row r="1013" spans="1:48">
      <c r="A1013" s="92">
        <v>45155</v>
      </c>
      <c r="B1013" s="55">
        <v>135195215000</v>
      </c>
      <c r="C1013" s="55">
        <v>53083049900</v>
      </c>
      <c r="D1013" s="55">
        <v>0</v>
      </c>
      <c r="E1013" s="55">
        <v>0</v>
      </c>
      <c r="F1013" s="55">
        <v>188278264900</v>
      </c>
      <c r="G1013" s="55">
        <v>50835132</v>
      </c>
      <c r="H1013" s="55">
        <v>44808514000</v>
      </c>
      <c r="I1013" s="55">
        <v>12936000000</v>
      </c>
      <c r="J1013" s="55">
        <v>57744514000</v>
      </c>
      <c r="L1013" s="55">
        <v>12745335000</v>
      </c>
      <c r="M1013" s="55">
        <v>15867600000</v>
      </c>
      <c r="N1013" s="55">
        <v>28612935000</v>
      </c>
      <c r="O1013" s="55">
        <v>3232469000</v>
      </c>
      <c r="P1013" s="55">
        <v>0</v>
      </c>
      <c r="Q1013" s="55">
        <v>3232469000</v>
      </c>
      <c r="R1013" s="55">
        <v>2538831000</v>
      </c>
      <c r="S1013" s="55">
        <v>0</v>
      </c>
      <c r="T1013" s="55">
        <v>2538831000</v>
      </c>
      <c r="U1013" s="55">
        <v>38704000</v>
      </c>
      <c r="V1013" s="55">
        <v>0</v>
      </c>
      <c r="W1013" s="55">
        <v>38704000</v>
      </c>
      <c r="X1013" s="55">
        <v>406688000</v>
      </c>
      <c r="Y1013" s="55">
        <v>0</v>
      </c>
      <c r="Z1013" s="55">
        <v>406688000</v>
      </c>
      <c r="AA1013" s="55">
        <v>10540000</v>
      </c>
      <c r="AB1013" s="55">
        <v>0</v>
      </c>
      <c r="AC1013" s="55">
        <v>10540000</v>
      </c>
      <c r="AD1013" s="55">
        <v>544908000</v>
      </c>
      <c r="AE1013" s="55">
        <v>0</v>
      </c>
      <c r="AF1013" s="55">
        <v>544908000</v>
      </c>
      <c r="AG1013" s="55">
        <v>0</v>
      </c>
      <c r="AH1013" s="55">
        <v>0</v>
      </c>
      <c r="AI1013" s="55">
        <v>0</v>
      </c>
      <c r="AJ1013" s="55">
        <v>12131855</v>
      </c>
      <c r="AK1013" s="55">
        <v>1407780</v>
      </c>
      <c r="AL1013" s="55">
        <v>44933</v>
      </c>
      <c r="AM1013" s="55">
        <v>1978</v>
      </c>
      <c r="AN1013" s="55">
        <v>10340250</v>
      </c>
      <c r="AO1013" s="55">
        <v>5340600</v>
      </c>
      <c r="AQ1013" s="55">
        <v>58118273157800</v>
      </c>
      <c r="AR1013" s="55">
        <v>262195286000</v>
      </c>
      <c r="AS1013" s="55">
        <v>123366189000</v>
      </c>
      <c r="AT1013" s="55">
        <v>311644453900</v>
      </c>
      <c r="AU1013" s="55">
        <f t="shared" si="778"/>
        <v>80055617</v>
      </c>
      <c r="AV1013" s="99">
        <f t="shared" si="779"/>
        <v>31395634704.295998</v>
      </c>
    </row>
    <row r="1014" spans="1:48">
      <c r="A1014" s="92">
        <v>45156</v>
      </c>
      <c r="B1014" s="55">
        <v>281772308000</v>
      </c>
      <c r="C1014" s="55">
        <v>34825761800</v>
      </c>
      <c r="D1014" s="55">
        <v>0</v>
      </c>
      <c r="E1014" s="55">
        <v>0</v>
      </c>
      <c r="F1014" s="55">
        <v>316598069800</v>
      </c>
      <c r="G1014" s="55">
        <v>85481479</v>
      </c>
      <c r="H1014" s="55">
        <v>3150182000</v>
      </c>
      <c r="I1014" s="55">
        <v>121048400000</v>
      </c>
      <c r="J1014" s="55">
        <v>124198582000</v>
      </c>
      <c r="L1014" s="55">
        <v>18889621000</v>
      </c>
      <c r="M1014" s="55">
        <v>74985300000</v>
      </c>
      <c r="N1014" s="55">
        <v>93874921000</v>
      </c>
      <c r="O1014" s="55">
        <v>4496620000</v>
      </c>
      <c r="P1014" s="55">
        <v>0</v>
      </c>
      <c r="Q1014" s="55">
        <v>4496620000</v>
      </c>
      <c r="R1014" s="55">
        <v>2986082000</v>
      </c>
      <c r="S1014" s="55">
        <v>0</v>
      </c>
      <c r="T1014" s="55">
        <v>2986082000</v>
      </c>
      <c r="U1014" s="55">
        <v>301474000</v>
      </c>
      <c r="V1014" s="55">
        <v>0</v>
      </c>
      <c r="W1014" s="55">
        <v>301474000</v>
      </c>
      <c r="X1014" s="55">
        <v>128717000</v>
      </c>
      <c r="Y1014" s="55">
        <v>0</v>
      </c>
      <c r="Z1014" s="55">
        <v>128717000</v>
      </c>
      <c r="AA1014" s="55">
        <v>283211000</v>
      </c>
      <c r="AB1014" s="55">
        <v>0</v>
      </c>
      <c r="AC1014" s="55">
        <v>283211000</v>
      </c>
      <c r="AD1014" s="55">
        <v>34880000</v>
      </c>
      <c r="AE1014" s="55">
        <v>0</v>
      </c>
      <c r="AF1014" s="55">
        <v>34880000</v>
      </c>
      <c r="AG1014" s="55">
        <v>0</v>
      </c>
      <c r="AH1014" s="55">
        <v>0</v>
      </c>
      <c r="AI1014" s="55">
        <v>0</v>
      </c>
      <c r="AJ1014" s="55">
        <v>38555311</v>
      </c>
      <c r="AK1014" s="55">
        <v>1192740</v>
      </c>
      <c r="AL1014" s="55">
        <v>44933</v>
      </c>
      <c r="AM1014" s="55">
        <v>2983</v>
      </c>
      <c r="AN1014" s="55">
        <v>40759200</v>
      </c>
      <c r="AO1014" s="55">
        <v>8054100</v>
      </c>
      <c r="AQ1014" s="55">
        <v>84283189335000</v>
      </c>
      <c r="AR1014" s="55">
        <v>699379262000</v>
      </c>
      <c r="AS1014" s="55">
        <v>433918187000</v>
      </c>
      <c r="AT1014" s="55">
        <v>750516256800</v>
      </c>
      <c r="AU1014" s="55">
        <f t="shared" si="778"/>
        <v>174042830</v>
      </c>
      <c r="AV1014" s="99">
        <f t="shared" si="779"/>
        <v>31569677534.295998</v>
      </c>
    </row>
    <row r="1015" spans="1:48">
      <c r="A1015" s="92">
        <v>45159</v>
      </c>
      <c r="B1015" s="55">
        <v>58282870000</v>
      </c>
      <c r="C1015" s="55">
        <v>16306567000</v>
      </c>
      <c r="D1015" s="55">
        <v>0</v>
      </c>
      <c r="E1015" s="55">
        <v>0</v>
      </c>
      <c r="F1015" s="55">
        <v>74589437000</v>
      </c>
      <c r="G1015" s="55">
        <v>20139148</v>
      </c>
      <c r="H1015" s="55">
        <v>1847310000</v>
      </c>
      <c r="I1015" s="55">
        <v>212449500000</v>
      </c>
      <c r="J1015" s="55">
        <v>214296810000</v>
      </c>
      <c r="L1015" s="55">
        <v>6742955000</v>
      </c>
      <c r="M1015" s="55">
        <v>88167100000</v>
      </c>
      <c r="N1015" s="55">
        <v>94910055000</v>
      </c>
      <c r="O1015" s="55">
        <v>4408969000</v>
      </c>
      <c r="P1015" s="55">
        <v>0</v>
      </c>
      <c r="Q1015" s="55">
        <v>4408969000</v>
      </c>
      <c r="R1015" s="55">
        <v>3514237000</v>
      </c>
      <c r="S1015" s="55">
        <v>0</v>
      </c>
      <c r="T1015" s="55">
        <v>3514237000</v>
      </c>
      <c r="U1015" s="55">
        <v>814212000</v>
      </c>
      <c r="V1015" s="55">
        <v>0</v>
      </c>
      <c r="W1015" s="55">
        <v>814212000</v>
      </c>
      <c r="X1015" s="55">
        <v>131930000</v>
      </c>
      <c r="Y1015" s="55">
        <v>0</v>
      </c>
      <c r="Z1015" s="55">
        <v>131930000</v>
      </c>
      <c r="AA1015" s="55">
        <v>131998000</v>
      </c>
      <c r="AB1015" s="55">
        <v>0</v>
      </c>
      <c r="AC1015" s="55">
        <v>131998000</v>
      </c>
      <c r="AD1015" s="55">
        <v>45365000</v>
      </c>
      <c r="AE1015" s="55">
        <v>0</v>
      </c>
      <c r="AF1015" s="55">
        <v>45365000</v>
      </c>
      <c r="AG1015" s="55">
        <v>0</v>
      </c>
      <c r="AH1015" s="55">
        <v>0</v>
      </c>
      <c r="AI1015" s="55">
        <v>0</v>
      </c>
      <c r="AJ1015" s="55">
        <v>56015781</v>
      </c>
      <c r="AK1015" s="55">
        <v>995910</v>
      </c>
      <c r="AL1015" s="55">
        <v>44933</v>
      </c>
      <c r="AM1015" s="55">
        <v>1654</v>
      </c>
      <c r="AN1015" s="55">
        <v>17416500</v>
      </c>
      <c r="AO1015" s="55">
        <v>4465800</v>
      </c>
      <c r="AQ1015" s="55">
        <v>50239045193600</v>
      </c>
      <c r="AR1015" s="55">
        <v>882852770000</v>
      </c>
      <c r="AS1015" s="55">
        <v>618870176000</v>
      </c>
      <c r="AT1015" s="55">
        <v>693459613000</v>
      </c>
      <c r="AU1015" s="55">
        <f t="shared" si="778"/>
        <v>99033139</v>
      </c>
      <c r="AV1015" s="99">
        <f t="shared" si="779"/>
        <v>31668710673.295998</v>
      </c>
    </row>
    <row r="1016" spans="1:48">
      <c r="A1016" s="92">
        <v>45160</v>
      </c>
      <c r="B1016" s="55">
        <v>138236082000</v>
      </c>
      <c r="C1016" s="55">
        <v>13595270000</v>
      </c>
      <c r="D1016" s="55">
        <v>0</v>
      </c>
      <c r="E1016" s="55">
        <v>0</v>
      </c>
      <c r="F1016" s="55">
        <v>151831352000</v>
      </c>
      <c r="G1016" s="55">
        <v>40994465</v>
      </c>
      <c r="H1016" s="55">
        <v>1724513000</v>
      </c>
      <c r="I1016" s="55">
        <v>81272200000</v>
      </c>
      <c r="J1016" s="55">
        <v>82996713000</v>
      </c>
      <c r="L1016" s="55">
        <v>9582647000</v>
      </c>
      <c r="M1016" s="55">
        <v>62604800000</v>
      </c>
      <c r="N1016" s="55">
        <v>72187447000</v>
      </c>
      <c r="O1016" s="55">
        <v>4560256000</v>
      </c>
      <c r="P1016" s="55">
        <v>0</v>
      </c>
      <c r="Q1016" s="55">
        <v>4560256000</v>
      </c>
      <c r="R1016" s="55">
        <v>2075581000</v>
      </c>
      <c r="S1016" s="55">
        <v>0</v>
      </c>
      <c r="T1016" s="55">
        <v>2075581000</v>
      </c>
      <c r="U1016" s="55">
        <v>88977000</v>
      </c>
      <c r="V1016" s="55">
        <v>0</v>
      </c>
      <c r="W1016" s="55">
        <v>88977000</v>
      </c>
      <c r="X1016" s="55">
        <v>534129000</v>
      </c>
      <c r="Y1016" s="55">
        <v>0</v>
      </c>
      <c r="Z1016" s="55">
        <v>534129000</v>
      </c>
      <c r="AA1016" s="55">
        <v>528048000</v>
      </c>
      <c r="AB1016" s="55">
        <v>0</v>
      </c>
      <c r="AC1016" s="55">
        <v>528048000</v>
      </c>
      <c r="AD1016" s="55">
        <v>573843000</v>
      </c>
      <c r="AE1016" s="55">
        <v>0</v>
      </c>
      <c r="AF1016" s="55">
        <v>573843000</v>
      </c>
      <c r="AG1016" s="55">
        <v>0</v>
      </c>
      <c r="AH1016" s="55">
        <v>0</v>
      </c>
      <c r="AI1016" s="55">
        <v>0</v>
      </c>
      <c r="AJ1016" s="55">
        <v>28022003</v>
      </c>
      <c r="AK1016" s="55">
        <v>1286040</v>
      </c>
      <c r="AL1016" s="55">
        <v>44933</v>
      </c>
      <c r="AM1016" s="55">
        <v>2208</v>
      </c>
      <c r="AN1016" s="55">
        <v>19308600</v>
      </c>
      <c r="AO1016" s="55">
        <v>5961600</v>
      </c>
      <c r="AQ1016" s="55">
        <v>51072574670800</v>
      </c>
      <c r="AR1016" s="55">
        <v>482549686000</v>
      </c>
      <c r="AS1016" s="55">
        <v>321475989000</v>
      </c>
      <c r="AT1016" s="55">
        <v>473307341000</v>
      </c>
      <c r="AU1016" s="55">
        <f t="shared" si="778"/>
        <v>95572708</v>
      </c>
      <c r="AV1016" s="99">
        <f t="shared" si="779"/>
        <v>31764283381.295998</v>
      </c>
    </row>
    <row r="1017" spans="1:48">
      <c r="A1017" s="92">
        <v>45161</v>
      </c>
      <c r="B1017" s="55">
        <v>183379165000</v>
      </c>
      <c r="C1017" s="55">
        <v>53881296000</v>
      </c>
      <c r="D1017" s="55">
        <v>0</v>
      </c>
      <c r="E1017" s="55">
        <v>0</v>
      </c>
      <c r="F1017" s="55">
        <v>237260461000</v>
      </c>
      <c r="G1017" s="55">
        <v>64060324</v>
      </c>
      <c r="H1017" s="55">
        <v>319211000</v>
      </c>
      <c r="I1017" s="55">
        <v>4055600000</v>
      </c>
      <c r="J1017" s="55">
        <v>4374811000</v>
      </c>
      <c r="L1017" s="55">
        <v>7881013000</v>
      </c>
      <c r="M1017" s="55">
        <v>0</v>
      </c>
      <c r="N1017" s="55">
        <v>7881013000</v>
      </c>
      <c r="O1017" s="55">
        <v>4706138000</v>
      </c>
      <c r="P1017" s="55">
        <v>0</v>
      </c>
      <c r="Q1017" s="55">
        <v>4706138000</v>
      </c>
      <c r="R1017" s="55">
        <v>1880939000</v>
      </c>
      <c r="S1017" s="55">
        <v>0</v>
      </c>
      <c r="T1017" s="55">
        <v>1880939000</v>
      </c>
      <c r="U1017" s="55">
        <v>313132000</v>
      </c>
      <c r="V1017" s="55">
        <v>0</v>
      </c>
      <c r="W1017" s="55">
        <v>313132000</v>
      </c>
      <c r="X1017" s="55">
        <v>463905000</v>
      </c>
      <c r="Y1017" s="55">
        <v>0</v>
      </c>
      <c r="Z1017" s="55">
        <v>463905000</v>
      </c>
      <c r="AA1017" s="55">
        <v>648855000</v>
      </c>
      <c r="AB1017" s="55">
        <v>0</v>
      </c>
      <c r="AC1017" s="55">
        <v>648855000</v>
      </c>
      <c r="AD1017" s="55">
        <v>563764000</v>
      </c>
      <c r="AE1017" s="55">
        <v>0</v>
      </c>
      <c r="AF1017" s="55">
        <v>563764000</v>
      </c>
      <c r="AG1017" s="55">
        <v>0</v>
      </c>
      <c r="AH1017" s="55">
        <v>0</v>
      </c>
      <c r="AI1017" s="55">
        <v>0</v>
      </c>
      <c r="AJ1017" s="55">
        <v>2541919</v>
      </c>
      <c r="AK1017" s="55">
        <v>1771950</v>
      </c>
      <c r="AL1017" s="55">
        <v>44933</v>
      </c>
      <c r="AM1017" s="55">
        <v>2202</v>
      </c>
      <c r="AN1017" s="55">
        <v>15621300</v>
      </c>
      <c r="AO1017" s="55">
        <v>5945400</v>
      </c>
      <c r="AQ1017" s="55">
        <v>37772226475500</v>
      </c>
      <c r="AR1017" s="55">
        <v>116426262000</v>
      </c>
      <c r="AS1017" s="55">
        <v>26272357000</v>
      </c>
      <c r="AT1017" s="55">
        <v>263532818000</v>
      </c>
      <c r="AU1017" s="55">
        <f t="shared" si="778"/>
        <v>89940893</v>
      </c>
      <c r="AV1017" s="99">
        <f t="shared" si="779"/>
        <v>31854224274.295998</v>
      </c>
    </row>
    <row r="1018" spans="1:48">
      <c r="A1018" s="92">
        <v>45162</v>
      </c>
      <c r="B1018" s="55">
        <v>224835765000</v>
      </c>
      <c r="C1018" s="55">
        <v>64699306400</v>
      </c>
      <c r="D1018" s="55">
        <v>0</v>
      </c>
      <c r="E1018" s="55">
        <v>0</v>
      </c>
      <c r="F1018" s="55">
        <v>289535071400</v>
      </c>
      <c r="G1018" s="55">
        <v>78174469</v>
      </c>
      <c r="H1018" s="55">
        <v>2088364000</v>
      </c>
      <c r="I1018" s="55">
        <v>0</v>
      </c>
      <c r="J1018" s="55">
        <v>2088364000</v>
      </c>
      <c r="L1018" s="55">
        <v>15170783000</v>
      </c>
      <c r="M1018" s="55">
        <v>10285000000</v>
      </c>
      <c r="N1018" s="55">
        <v>25455783000</v>
      </c>
      <c r="O1018" s="55">
        <v>26254000</v>
      </c>
      <c r="P1018" s="55">
        <v>0</v>
      </c>
      <c r="Q1018" s="55">
        <v>26254000</v>
      </c>
      <c r="R1018" s="55">
        <v>996508000</v>
      </c>
      <c r="S1018" s="55">
        <v>0</v>
      </c>
      <c r="T1018" s="55">
        <v>996508000</v>
      </c>
      <c r="U1018" s="55">
        <v>42613000</v>
      </c>
      <c r="V1018" s="55">
        <v>0</v>
      </c>
      <c r="W1018" s="55">
        <v>42613000</v>
      </c>
      <c r="X1018" s="55">
        <v>386838000</v>
      </c>
      <c r="Y1018" s="55">
        <v>0</v>
      </c>
      <c r="Z1018" s="55">
        <v>386838000</v>
      </c>
      <c r="AA1018" s="55">
        <v>131613000</v>
      </c>
      <c r="AB1018" s="55">
        <v>0</v>
      </c>
      <c r="AC1018" s="55">
        <v>131613000</v>
      </c>
      <c r="AD1018" s="55">
        <v>505920000</v>
      </c>
      <c r="AE1018" s="55">
        <v>0</v>
      </c>
      <c r="AF1018" s="55">
        <v>505920000</v>
      </c>
      <c r="AG1018" s="55">
        <v>0</v>
      </c>
      <c r="AH1018" s="55">
        <v>0</v>
      </c>
      <c r="AI1018" s="55">
        <v>0</v>
      </c>
      <c r="AJ1018" s="55">
        <v>3940980</v>
      </c>
      <c r="AK1018" s="55">
        <v>1035690</v>
      </c>
      <c r="AL1018" s="55">
        <v>44933</v>
      </c>
      <c r="AM1018" s="55">
        <v>2483</v>
      </c>
      <c r="AN1018" s="55">
        <v>14823150</v>
      </c>
      <c r="AO1018" s="55">
        <v>6704100</v>
      </c>
      <c r="AQ1018" s="55">
        <v>42707828173800</v>
      </c>
      <c r="AR1018" s="55">
        <v>151416096000</v>
      </c>
      <c r="AS1018" s="55">
        <v>53950653000</v>
      </c>
      <c r="AT1018" s="55">
        <v>343485724400</v>
      </c>
      <c r="AU1018" s="55">
        <f t="shared" si="778"/>
        <v>104678389</v>
      </c>
      <c r="AV1018" s="99">
        <f t="shared" si="779"/>
        <v>31958902663.295998</v>
      </c>
    </row>
    <row r="1019" spans="1:48">
      <c r="A1019" s="92">
        <v>45163</v>
      </c>
      <c r="B1019" s="55">
        <v>289382783000</v>
      </c>
      <c r="C1019" s="55">
        <v>58839676050</v>
      </c>
      <c r="D1019" s="55">
        <v>0</v>
      </c>
      <c r="E1019" s="55">
        <v>0</v>
      </c>
      <c r="F1019" s="55">
        <v>348222459050</v>
      </c>
      <c r="G1019" s="55">
        <v>94020064</v>
      </c>
      <c r="H1019" s="55">
        <v>2483942000</v>
      </c>
      <c r="I1019" s="55">
        <v>0</v>
      </c>
      <c r="J1019" s="55">
        <v>2483942000</v>
      </c>
      <c r="L1019" s="55">
        <v>14161262000</v>
      </c>
      <c r="M1019" s="55">
        <v>0</v>
      </c>
      <c r="N1019" s="55">
        <v>14161262000</v>
      </c>
      <c r="O1019" s="55">
        <v>3044211000</v>
      </c>
      <c r="P1019" s="55">
        <v>0</v>
      </c>
      <c r="Q1019" s="55">
        <v>3044211000</v>
      </c>
      <c r="R1019" s="55">
        <v>715848000</v>
      </c>
      <c r="S1019" s="55">
        <v>0</v>
      </c>
      <c r="T1019" s="55">
        <v>715848000</v>
      </c>
      <c r="U1019" s="55">
        <v>193732000</v>
      </c>
      <c r="V1019" s="55">
        <v>0</v>
      </c>
      <c r="W1019" s="55">
        <v>193732000</v>
      </c>
      <c r="X1019" s="55">
        <v>387802000</v>
      </c>
      <c r="Y1019" s="55">
        <v>0</v>
      </c>
      <c r="Z1019" s="55">
        <v>387802000</v>
      </c>
      <c r="AA1019" s="55">
        <v>111756000</v>
      </c>
      <c r="AB1019" s="55">
        <v>0</v>
      </c>
      <c r="AC1019" s="55">
        <v>111756000</v>
      </c>
      <c r="AD1019" s="55">
        <v>517510000</v>
      </c>
      <c r="AE1019" s="55">
        <v>0</v>
      </c>
      <c r="AF1019" s="55">
        <v>517510000</v>
      </c>
      <c r="AG1019" s="55">
        <v>0</v>
      </c>
      <c r="AH1019" s="55">
        <v>0</v>
      </c>
      <c r="AI1019" s="55">
        <v>0</v>
      </c>
      <c r="AJ1019" s="55">
        <v>2334535</v>
      </c>
      <c r="AK1019" s="55">
        <v>1654592.0999999999</v>
      </c>
      <c r="AL1019" s="55">
        <v>44933</v>
      </c>
      <c r="AM1019" s="55">
        <v>2905</v>
      </c>
      <c r="AN1019" s="55">
        <v>36077400</v>
      </c>
      <c r="AO1019" s="55">
        <v>7843500</v>
      </c>
      <c r="AQ1019" s="55">
        <v>45736650577000</v>
      </c>
      <c r="AR1019" s="55">
        <v>136296282000</v>
      </c>
      <c r="AS1019" s="55">
        <v>22980473000</v>
      </c>
      <c r="AT1019" s="55">
        <v>371202932050</v>
      </c>
      <c r="AU1019" s="55">
        <f t="shared" si="778"/>
        <v>141930091.09999999</v>
      </c>
      <c r="AV1019" s="99">
        <f t="shared" si="779"/>
        <v>32100832754.395996</v>
      </c>
    </row>
    <row r="1020" spans="1:48">
      <c r="A1020" s="92">
        <v>45166</v>
      </c>
      <c r="B1020" s="55">
        <v>237952609000</v>
      </c>
      <c r="C1020" s="55">
        <v>0</v>
      </c>
      <c r="D1020" s="55">
        <v>0</v>
      </c>
      <c r="E1020" s="55">
        <v>0</v>
      </c>
      <c r="F1020" s="55">
        <v>237952609000</v>
      </c>
      <c r="G1020" s="55">
        <v>64247204</v>
      </c>
      <c r="H1020" s="55">
        <v>12903199000</v>
      </c>
      <c r="I1020" s="55">
        <v>6236100000</v>
      </c>
      <c r="J1020" s="55">
        <v>19139299000</v>
      </c>
      <c r="L1020" s="55">
        <v>14209123000</v>
      </c>
      <c r="M1020" s="55">
        <v>10367900000</v>
      </c>
      <c r="N1020" s="55">
        <v>24577023000</v>
      </c>
      <c r="O1020" s="55">
        <v>6591830000</v>
      </c>
      <c r="P1020" s="55">
        <v>0</v>
      </c>
      <c r="Q1020" s="55">
        <v>6591830000</v>
      </c>
      <c r="R1020" s="55">
        <v>1195266000</v>
      </c>
      <c r="S1020" s="55">
        <v>0</v>
      </c>
      <c r="T1020" s="55">
        <v>1195266000</v>
      </c>
      <c r="U1020" s="55">
        <v>115684000</v>
      </c>
      <c r="V1020" s="55">
        <v>0</v>
      </c>
      <c r="W1020" s="55">
        <v>115684000</v>
      </c>
      <c r="X1020" s="55">
        <v>380160000</v>
      </c>
      <c r="Y1020" s="55">
        <v>0</v>
      </c>
      <c r="Z1020" s="55">
        <v>380160000</v>
      </c>
      <c r="AA1020" s="55">
        <v>67551000</v>
      </c>
      <c r="AB1020" s="55">
        <v>0</v>
      </c>
      <c r="AC1020" s="55">
        <v>67551000</v>
      </c>
      <c r="AD1020" s="55">
        <v>522999000</v>
      </c>
      <c r="AE1020" s="55">
        <v>0</v>
      </c>
      <c r="AF1020" s="55">
        <v>522999000</v>
      </c>
      <c r="AG1020" s="55">
        <v>0</v>
      </c>
      <c r="AH1020" s="55">
        <v>0</v>
      </c>
      <c r="AI1020" s="55">
        <v>0</v>
      </c>
      <c r="AJ1020" s="55">
        <v>6875188</v>
      </c>
      <c r="AK1020" s="55">
        <v>1500690</v>
      </c>
      <c r="AL1020" s="55">
        <v>44933</v>
      </c>
      <c r="AM1020" s="55">
        <v>2184</v>
      </c>
      <c r="AN1020" s="55">
        <v>12566400</v>
      </c>
      <c r="AO1020" s="55">
        <v>5896800</v>
      </c>
      <c r="AQ1020" s="55">
        <v>45455352971600</v>
      </c>
      <c r="AR1020" s="55">
        <v>193235892000</v>
      </c>
      <c r="AS1020" s="55">
        <v>70569302000</v>
      </c>
      <c r="AT1020" s="55">
        <v>308521911000</v>
      </c>
      <c r="AU1020" s="55">
        <f t="shared" si="778"/>
        <v>91086282</v>
      </c>
      <c r="AV1020" s="99">
        <f t="shared" si="779"/>
        <v>32191919036.395996</v>
      </c>
    </row>
    <row r="1021" spans="1:48">
      <c r="A1021" s="92">
        <v>45167</v>
      </c>
      <c r="B1021" s="55">
        <v>241165470000</v>
      </c>
      <c r="C1021" s="55">
        <v>14872366100</v>
      </c>
      <c r="D1021" s="55">
        <v>0</v>
      </c>
      <c r="E1021" s="55">
        <v>0</v>
      </c>
      <c r="F1021" s="55">
        <v>256037836100</v>
      </c>
      <c r="G1021" s="55">
        <v>69130216</v>
      </c>
      <c r="H1021" s="55">
        <v>3033589000</v>
      </c>
      <c r="I1021" s="55">
        <v>14596000000</v>
      </c>
      <c r="J1021" s="55">
        <v>17629589000</v>
      </c>
      <c r="L1021" s="55">
        <v>27024375000</v>
      </c>
      <c r="M1021" s="55">
        <v>5267000000</v>
      </c>
      <c r="N1021" s="55">
        <v>32291375000</v>
      </c>
      <c r="O1021" s="55">
        <v>2470423000</v>
      </c>
      <c r="P1021" s="55">
        <v>0</v>
      </c>
      <c r="Q1021" s="55">
        <v>2470423000</v>
      </c>
      <c r="R1021" s="55">
        <v>1011724000</v>
      </c>
      <c r="S1021" s="55">
        <v>0</v>
      </c>
      <c r="T1021" s="55">
        <v>1011724000</v>
      </c>
      <c r="U1021" s="55">
        <v>133129000</v>
      </c>
      <c r="V1021" s="55">
        <v>0</v>
      </c>
      <c r="W1021" s="55">
        <v>133129000</v>
      </c>
      <c r="X1021" s="55">
        <v>551260000</v>
      </c>
      <c r="Y1021" s="55">
        <v>0</v>
      </c>
      <c r="Z1021" s="55">
        <v>551260000</v>
      </c>
      <c r="AA1021" s="55">
        <v>10510000</v>
      </c>
      <c r="AB1021" s="55">
        <v>0</v>
      </c>
      <c r="AC1021" s="55">
        <v>10510000</v>
      </c>
      <c r="AD1021" s="55">
        <v>524400000</v>
      </c>
      <c r="AE1021" s="55">
        <v>0</v>
      </c>
      <c r="AF1021" s="55">
        <v>524400000</v>
      </c>
      <c r="AG1021" s="55">
        <v>0</v>
      </c>
      <c r="AH1021" s="55">
        <v>0</v>
      </c>
      <c r="AI1021" s="55">
        <v>0</v>
      </c>
      <c r="AJ1021" s="55">
        <v>7329356</v>
      </c>
      <c r="AK1021" s="55">
        <v>1354110</v>
      </c>
      <c r="AL1021" s="55">
        <v>44933</v>
      </c>
      <c r="AM1021" s="55">
        <v>2382</v>
      </c>
      <c r="AN1021" s="55">
        <v>11821800</v>
      </c>
      <c r="AO1021" s="55">
        <v>6431400</v>
      </c>
      <c r="AQ1021" s="55">
        <v>50320231827200</v>
      </c>
      <c r="AR1021" s="55">
        <v>188355992000</v>
      </c>
      <c r="AS1021" s="55">
        <v>91029490000</v>
      </c>
      <c r="AT1021" s="55">
        <v>347067326100</v>
      </c>
      <c r="AU1021" s="55">
        <f t="shared" si="778"/>
        <v>96066882</v>
      </c>
      <c r="AV1021" s="99">
        <f t="shared" si="779"/>
        <v>32287985918.395996</v>
      </c>
    </row>
    <row r="1022" spans="1:48">
      <c r="A1022" s="92">
        <v>45168</v>
      </c>
      <c r="B1022" s="55">
        <v>308459645000</v>
      </c>
      <c r="C1022" s="55">
        <v>20178284300</v>
      </c>
      <c r="D1022" s="55">
        <v>0</v>
      </c>
      <c r="E1022" s="55">
        <v>0</v>
      </c>
      <c r="F1022" s="55">
        <v>328637929300</v>
      </c>
      <c r="G1022" s="55">
        <v>88732241</v>
      </c>
      <c r="H1022" s="55">
        <v>5923847000</v>
      </c>
      <c r="I1022" s="55">
        <v>4206800000</v>
      </c>
      <c r="J1022" s="55">
        <v>10130647000</v>
      </c>
      <c r="L1022" s="55">
        <v>15870532000</v>
      </c>
      <c r="M1022" s="55">
        <v>0</v>
      </c>
      <c r="N1022" s="55">
        <v>15870532000</v>
      </c>
      <c r="O1022" s="55">
        <v>3223466000</v>
      </c>
      <c r="P1022" s="55">
        <v>0</v>
      </c>
      <c r="Q1022" s="55">
        <v>3223466000</v>
      </c>
      <c r="R1022" s="55">
        <v>687194000</v>
      </c>
      <c r="S1022" s="55">
        <v>0</v>
      </c>
      <c r="T1022" s="55">
        <v>687194000</v>
      </c>
      <c r="U1022" s="55">
        <v>305797000</v>
      </c>
      <c r="V1022" s="55">
        <v>0</v>
      </c>
      <c r="W1022" s="55">
        <v>305797000</v>
      </c>
      <c r="X1022" s="55">
        <v>583372000</v>
      </c>
      <c r="Y1022" s="55">
        <v>0</v>
      </c>
      <c r="Z1022" s="55">
        <v>583372000</v>
      </c>
      <c r="AA1022" s="55">
        <v>2134000</v>
      </c>
      <c r="AB1022" s="55">
        <v>0</v>
      </c>
      <c r="AC1022" s="55">
        <v>2134000</v>
      </c>
      <c r="AD1022" s="55">
        <v>529928000</v>
      </c>
      <c r="AE1022" s="55">
        <v>0</v>
      </c>
      <c r="AF1022" s="55">
        <v>529928000</v>
      </c>
      <c r="AG1022" s="55">
        <v>0</v>
      </c>
      <c r="AH1022" s="55">
        <v>0</v>
      </c>
      <c r="AI1022" s="55">
        <v>0</v>
      </c>
      <c r="AJ1022" s="55">
        <v>3686861</v>
      </c>
      <c r="AK1022" s="55">
        <v>1024470</v>
      </c>
      <c r="AL1022" s="55">
        <v>44933</v>
      </c>
      <c r="AM1022" s="55">
        <v>2862</v>
      </c>
      <c r="AN1022" s="55">
        <v>12744900</v>
      </c>
      <c r="AO1022" s="55">
        <v>7727400</v>
      </c>
      <c r="AQ1022" s="55">
        <v>46963949015200</v>
      </c>
      <c r="AR1022" s="55">
        <v>108876846000</v>
      </c>
      <c r="AS1022" s="55">
        <v>36693152000</v>
      </c>
      <c r="AT1022" s="55">
        <v>365331081300</v>
      </c>
      <c r="AU1022" s="55">
        <f t="shared" si="778"/>
        <v>113915872</v>
      </c>
      <c r="AV1022" s="99">
        <f t="shared" si="779"/>
        <v>32401901790.395996</v>
      </c>
    </row>
    <row r="1023" spans="1:48">
      <c r="A1023" s="92">
        <v>45169</v>
      </c>
      <c r="B1023" s="55">
        <v>295919615000</v>
      </c>
      <c r="C1023" s="55">
        <v>0</v>
      </c>
      <c r="D1023" s="55">
        <v>0</v>
      </c>
      <c r="E1023" s="55">
        <v>0</v>
      </c>
      <c r="F1023" s="55">
        <v>295919615000</v>
      </c>
      <c r="G1023" s="55">
        <v>79898296</v>
      </c>
      <c r="H1023" s="55">
        <v>1524810000</v>
      </c>
      <c r="I1023" s="55">
        <v>0</v>
      </c>
      <c r="J1023" s="55">
        <v>1524810000</v>
      </c>
      <c r="L1023" s="55">
        <v>8854046000</v>
      </c>
      <c r="M1023" s="55">
        <v>0</v>
      </c>
      <c r="N1023" s="55">
        <v>8854046000</v>
      </c>
      <c r="O1023" s="55">
        <v>1201500000</v>
      </c>
      <c r="P1023" s="55">
        <v>0</v>
      </c>
      <c r="Q1023" s="55">
        <v>1201500000</v>
      </c>
      <c r="R1023" s="55">
        <v>1064984000</v>
      </c>
      <c r="S1023" s="55">
        <v>0</v>
      </c>
      <c r="T1023" s="55">
        <v>1064984000</v>
      </c>
      <c r="U1023" s="55">
        <v>75835000</v>
      </c>
      <c r="V1023" s="55">
        <v>0</v>
      </c>
      <c r="W1023" s="55">
        <v>75835000</v>
      </c>
      <c r="X1023" s="55">
        <v>411012000</v>
      </c>
      <c r="Y1023" s="55">
        <v>0</v>
      </c>
      <c r="Z1023" s="55">
        <v>411012000</v>
      </c>
      <c r="AA1023" s="55">
        <v>5378000</v>
      </c>
      <c r="AB1023" s="55">
        <v>0</v>
      </c>
      <c r="AC1023" s="55">
        <v>5378000</v>
      </c>
      <c r="AD1023" s="55">
        <v>537970000</v>
      </c>
      <c r="AE1023" s="55">
        <v>0</v>
      </c>
      <c r="AF1023" s="55">
        <v>537970000</v>
      </c>
      <c r="AG1023" s="55">
        <v>0</v>
      </c>
      <c r="AH1023" s="55">
        <v>0</v>
      </c>
      <c r="AI1023" s="55">
        <v>0</v>
      </c>
      <c r="AJ1023" s="55">
        <v>1476958</v>
      </c>
      <c r="AK1023" s="55">
        <v>1040250</v>
      </c>
      <c r="AL1023" s="55">
        <v>44933</v>
      </c>
      <c r="AM1023" s="55">
        <v>2180</v>
      </c>
      <c r="AN1023" s="55">
        <v>12795900</v>
      </c>
      <c r="AO1023" s="55">
        <v>5886000</v>
      </c>
      <c r="AP1023" s="55">
        <v>84303140.200000793</v>
      </c>
      <c r="AQ1023" s="55">
        <v>48151886327600</v>
      </c>
      <c r="AR1023" s="55">
        <v>220600224000</v>
      </c>
      <c r="AS1023" s="55">
        <v>28154955000</v>
      </c>
      <c r="AT1023" s="55">
        <v>324074570000</v>
      </c>
      <c r="AU1023" s="55">
        <f t="shared" si="778"/>
        <v>185400544.20000079</v>
      </c>
      <c r="AV1023" s="99">
        <f t="shared" si="779"/>
        <v>32587302334.595997</v>
      </c>
    </row>
    <row r="1024" spans="1:48">
      <c r="A1024" s="92">
        <v>45174</v>
      </c>
      <c r="B1024" s="55">
        <v>242798630000</v>
      </c>
      <c r="C1024" s="55">
        <v>0</v>
      </c>
      <c r="D1024" s="55">
        <v>0</v>
      </c>
      <c r="E1024" s="55">
        <v>0</v>
      </c>
      <c r="F1024" s="55">
        <v>242798630000</v>
      </c>
      <c r="G1024" s="55">
        <v>65555630</v>
      </c>
      <c r="H1024" s="55">
        <v>6438802000</v>
      </c>
      <c r="I1024" s="55">
        <v>6423300000</v>
      </c>
      <c r="J1024" s="55">
        <v>12862102000</v>
      </c>
      <c r="L1024" s="55">
        <v>16529267000</v>
      </c>
      <c r="M1024" s="55">
        <v>32790000000</v>
      </c>
      <c r="N1024" s="55">
        <v>49319267000</v>
      </c>
      <c r="O1024" s="55">
        <v>2181969000</v>
      </c>
      <c r="P1024" s="55">
        <v>0</v>
      </c>
      <c r="Q1024" s="55">
        <v>2181969000</v>
      </c>
      <c r="R1024" s="55">
        <v>750393000</v>
      </c>
      <c r="S1024" s="55">
        <v>0</v>
      </c>
      <c r="T1024" s="55">
        <v>750393000</v>
      </c>
      <c r="U1024" s="55">
        <v>127015000</v>
      </c>
      <c r="V1024" s="55">
        <v>0</v>
      </c>
      <c r="W1024" s="55">
        <v>127015000</v>
      </c>
      <c r="X1024" s="55">
        <v>397212000</v>
      </c>
      <c r="Y1024" s="55">
        <v>0</v>
      </c>
      <c r="Z1024" s="55">
        <v>397212000</v>
      </c>
      <c r="AA1024" s="55">
        <v>2198000</v>
      </c>
      <c r="AB1024" s="55">
        <v>0</v>
      </c>
      <c r="AC1024" s="55">
        <v>2198000</v>
      </c>
      <c r="AD1024" s="55">
        <v>545050000</v>
      </c>
      <c r="AE1024" s="55">
        <v>0</v>
      </c>
      <c r="AF1024" s="55">
        <v>545050000</v>
      </c>
      <c r="AG1024" s="55">
        <v>0</v>
      </c>
      <c r="AH1024" s="55">
        <v>0</v>
      </c>
      <c r="AI1024" s="55">
        <v>0</v>
      </c>
      <c r="AJ1024" s="55">
        <v>9971360</v>
      </c>
      <c r="AK1024" s="55">
        <v>1251840</v>
      </c>
      <c r="AL1024" s="55">
        <v>44933</v>
      </c>
      <c r="AM1024" s="55">
        <v>2034</v>
      </c>
      <c r="AN1024" s="55">
        <v>10740600</v>
      </c>
      <c r="AO1024" s="55">
        <v>5491800</v>
      </c>
      <c r="AQ1024" s="55">
        <v>55342201289800</v>
      </c>
      <c r="AR1024" s="55">
        <v>324080972000</v>
      </c>
      <c r="AS1024" s="55">
        <v>106828166000</v>
      </c>
      <c r="AT1024" s="55">
        <v>349626796000</v>
      </c>
      <c r="AU1024" s="55">
        <f t="shared" ref="AU1024:AU1042" si="780">G1024+AJ1024+AK1024+AN1024+AO1024+AP1024</f>
        <v>93011230</v>
      </c>
      <c r="AV1024" s="99">
        <f t="shared" ref="AV1024:AV1042" si="781">AV1023+AU1024</f>
        <v>32680313564.595997</v>
      </c>
    </row>
    <row r="1025" spans="1:48">
      <c r="A1025" s="92">
        <v>45175</v>
      </c>
      <c r="B1025" s="55">
        <v>218967235000</v>
      </c>
      <c r="C1025" s="55">
        <v>0</v>
      </c>
      <c r="D1025" s="55">
        <v>0</v>
      </c>
      <c r="E1025" s="55">
        <v>0</v>
      </c>
      <c r="F1025" s="55">
        <v>218967235000</v>
      </c>
      <c r="G1025" s="55">
        <v>59121153</v>
      </c>
      <c r="H1025" s="55">
        <v>14676248000</v>
      </c>
      <c r="I1025" s="55">
        <v>21493600000</v>
      </c>
      <c r="J1025" s="55">
        <v>36169848000</v>
      </c>
      <c r="L1025" s="55">
        <v>27893190000</v>
      </c>
      <c r="M1025" s="55">
        <v>16436500000</v>
      </c>
      <c r="N1025" s="55">
        <v>44329690000</v>
      </c>
      <c r="O1025" s="55">
        <v>10221896000</v>
      </c>
      <c r="P1025" s="55">
        <v>0</v>
      </c>
      <c r="Q1025" s="55">
        <v>10221896000</v>
      </c>
      <c r="R1025" s="55">
        <v>1181452000</v>
      </c>
      <c r="S1025" s="55">
        <v>0</v>
      </c>
      <c r="T1025" s="55">
        <v>1181452000</v>
      </c>
      <c r="U1025" s="55">
        <v>132494000</v>
      </c>
      <c r="V1025" s="55">
        <v>0</v>
      </c>
      <c r="W1025" s="55">
        <v>132494000</v>
      </c>
      <c r="X1025" s="55">
        <v>21365000</v>
      </c>
      <c r="Y1025" s="55">
        <v>0</v>
      </c>
      <c r="Z1025" s="55">
        <v>21365000</v>
      </c>
      <c r="AA1025" s="55">
        <v>146661000</v>
      </c>
      <c r="AB1025" s="55">
        <v>0</v>
      </c>
      <c r="AC1025" s="55">
        <v>146661000</v>
      </c>
      <c r="AD1025" s="55">
        <v>5540000</v>
      </c>
      <c r="AE1025" s="55">
        <v>0</v>
      </c>
      <c r="AF1025" s="55">
        <v>5540000</v>
      </c>
      <c r="AG1025" s="55">
        <v>0</v>
      </c>
      <c r="AH1025" s="55">
        <v>0</v>
      </c>
      <c r="AI1025" s="55">
        <v>0</v>
      </c>
      <c r="AJ1025" s="55">
        <v>12689533</v>
      </c>
      <c r="AK1025" s="55">
        <v>1167900</v>
      </c>
      <c r="AL1025" s="55">
        <v>44933</v>
      </c>
      <c r="AM1025" s="55">
        <v>2335</v>
      </c>
      <c r="AN1025" s="55">
        <v>11375550</v>
      </c>
      <c r="AO1025" s="55">
        <v>6304500</v>
      </c>
      <c r="AQ1025" s="55">
        <v>57726362544600</v>
      </c>
      <c r="AR1025" s="55">
        <v>388018194000</v>
      </c>
      <c r="AS1025" s="55">
        <v>139894635000</v>
      </c>
      <c r="AT1025" s="55">
        <v>358861870000</v>
      </c>
      <c r="AU1025" s="55">
        <f t="shared" si="780"/>
        <v>90658636</v>
      </c>
      <c r="AV1025" s="99">
        <f t="shared" si="781"/>
        <v>32770972200.595997</v>
      </c>
    </row>
    <row r="1026" spans="1:48">
      <c r="A1026" s="92">
        <v>45176</v>
      </c>
      <c r="B1026" s="55">
        <v>252029675000</v>
      </c>
      <c r="C1026" s="55">
        <v>0</v>
      </c>
      <c r="D1026" s="55">
        <v>0</v>
      </c>
      <c r="E1026" s="55">
        <v>0</v>
      </c>
      <c r="F1026" s="55">
        <v>252029675000</v>
      </c>
      <c r="G1026" s="55">
        <v>68048012</v>
      </c>
      <c r="H1026" s="55">
        <v>7073718000</v>
      </c>
      <c r="I1026" s="55">
        <v>41028300000</v>
      </c>
      <c r="J1026" s="55">
        <v>48102018000</v>
      </c>
      <c r="L1026" s="55">
        <v>21747726000</v>
      </c>
      <c r="M1026" s="55">
        <v>41708000000</v>
      </c>
      <c r="N1026" s="55">
        <v>63455726000</v>
      </c>
      <c r="O1026" s="55">
        <v>9130169000</v>
      </c>
      <c r="P1026" s="55">
        <v>0</v>
      </c>
      <c r="Q1026" s="55">
        <v>9130169000</v>
      </c>
      <c r="R1026" s="55">
        <v>1309787000</v>
      </c>
      <c r="S1026" s="55">
        <v>0</v>
      </c>
      <c r="T1026" s="55">
        <v>1309787000</v>
      </c>
      <c r="U1026" s="55">
        <v>212061000</v>
      </c>
      <c r="V1026" s="55">
        <v>0</v>
      </c>
      <c r="W1026" s="55">
        <v>212061000</v>
      </c>
      <c r="X1026" s="55">
        <v>441971000</v>
      </c>
      <c r="Y1026" s="55">
        <v>0</v>
      </c>
      <c r="Z1026" s="55">
        <v>441971000</v>
      </c>
      <c r="AA1026" s="55">
        <v>7791000</v>
      </c>
      <c r="AB1026" s="55">
        <v>0</v>
      </c>
      <c r="AC1026" s="55">
        <v>7791000</v>
      </c>
      <c r="AD1026" s="55">
        <v>550290000</v>
      </c>
      <c r="AE1026" s="55">
        <v>0</v>
      </c>
      <c r="AF1026" s="55">
        <v>550290000</v>
      </c>
      <c r="AG1026" s="55">
        <v>0</v>
      </c>
      <c r="AH1026" s="55">
        <v>0</v>
      </c>
      <c r="AI1026" s="55">
        <v>0</v>
      </c>
      <c r="AJ1026" s="55">
        <v>19263673</v>
      </c>
      <c r="AK1026" s="55">
        <v>1556910</v>
      </c>
      <c r="AL1026" s="55">
        <v>44933</v>
      </c>
      <c r="AM1026" s="55">
        <v>2587</v>
      </c>
      <c r="AN1026" s="55">
        <v>11985000</v>
      </c>
      <c r="AO1026" s="55">
        <v>6984900</v>
      </c>
      <c r="AQ1026" s="55">
        <v>56083327763600</v>
      </c>
      <c r="AR1026" s="55">
        <v>473689176000</v>
      </c>
      <c r="AS1026" s="55">
        <v>207391843000</v>
      </c>
      <c r="AT1026" s="55">
        <v>459421518000</v>
      </c>
      <c r="AU1026" s="55">
        <f t="shared" si="780"/>
        <v>107838495</v>
      </c>
      <c r="AV1026" s="99">
        <f t="shared" si="781"/>
        <v>32878810695.595997</v>
      </c>
    </row>
    <row r="1027" spans="1:48">
      <c r="A1027" s="92">
        <v>45177</v>
      </c>
      <c r="B1027" s="55">
        <v>270527500000</v>
      </c>
      <c r="C1027" s="55">
        <v>28162060350</v>
      </c>
      <c r="D1027" s="55">
        <v>0</v>
      </c>
      <c r="E1027" s="55">
        <v>0</v>
      </c>
      <c r="F1027" s="55">
        <v>298689560350</v>
      </c>
      <c r="G1027" s="55">
        <v>80646181</v>
      </c>
      <c r="H1027" s="55">
        <v>9038829000</v>
      </c>
      <c r="I1027" s="55">
        <v>19447900000</v>
      </c>
      <c r="J1027" s="55">
        <v>28486729000</v>
      </c>
      <c r="L1027" s="55">
        <v>29922327000</v>
      </c>
      <c r="M1027" s="55">
        <v>13855200000</v>
      </c>
      <c r="N1027" s="55">
        <v>43777527000</v>
      </c>
      <c r="O1027" s="55">
        <v>7980000</v>
      </c>
      <c r="P1027" s="55">
        <v>0</v>
      </c>
      <c r="Q1027" s="55">
        <v>7980000</v>
      </c>
      <c r="R1027" s="55">
        <v>848853000</v>
      </c>
      <c r="S1027" s="55">
        <v>0</v>
      </c>
      <c r="T1027" s="55">
        <v>848853000</v>
      </c>
      <c r="U1027" s="55">
        <v>41810000</v>
      </c>
      <c r="V1027" s="55">
        <v>0</v>
      </c>
      <c r="W1027" s="55">
        <v>41810000</v>
      </c>
      <c r="X1027" s="55">
        <v>403565000</v>
      </c>
      <c r="Y1027" s="55">
        <v>12400500000</v>
      </c>
      <c r="Z1027" s="55">
        <v>12804065000</v>
      </c>
      <c r="AA1027" s="55">
        <v>298475000</v>
      </c>
      <c r="AB1027" s="55">
        <v>0</v>
      </c>
      <c r="AC1027" s="55">
        <v>298475000</v>
      </c>
      <c r="AD1027" s="55">
        <v>539040000</v>
      </c>
      <c r="AE1027" s="55">
        <v>0</v>
      </c>
      <c r="AF1027" s="55">
        <v>539040000</v>
      </c>
      <c r="AG1027" s="55">
        <v>0</v>
      </c>
      <c r="AH1027" s="55">
        <v>0</v>
      </c>
      <c r="AI1027" s="55">
        <v>0</v>
      </c>
      <c r="AJ1027" s="55">
        <v>12665543</v>
      </c>
      <c r="AK1027" s="55">
        <v>1294410</v>
      </c>
      <c r="AL1027" s="55">
        <v>44933</v>
      </c>
      <c r="AM1027" s="55">
        <v>2763</v>
      </c>
      <c r="AN1027" s="55">
        <v>45616950</v>
      </c>
      <c r="AO1027" s="55">
        <v>7460100</v>
      </c>
      <c r="AQ1027" s="55">
        <v>58923825839400</v>
      </c>
      <c r="AR1027" s="55">
        <v>609988388000</v>
      </c>
      <c r="AS1027" s="55">
        <v>149348729000</v>
      </c>
      <c r="AT1027" s="55">
        <v>448038289350</v>
      </c>
      <c r="AU1027" s="55">
        <f t="shared" si="780"/>
        <v>147683184</v>
      </c>
      <c r="AV1027" s="99">
        <f t="shared" si="781"/>
        <v>33026493879.595997</v>
      </c>
    </row>
    <row r="1028" spans="1:48">
      <c r="A1028" s="92">
        <v>45180</v>
      </c>
      <c r="B1028" s="55">
        <v>357868820000</v>
      </c>
      <c r="C1028" s="55">
        <v>21487729600</v>
      </c>
      <c r="D1028" s="55">
        <v>0</v>
      </c>
      <c r="E1028" s="55">
        <v>0</v>
      </c>
      <c r="F1028" s="55">
        <v>379356549600</v>
      </c>
      <c r="G1028" s="55">
        <v>102426268</v>
      </c>
      <c r="H1028" s="55">
        <v>1336774000</v>
      </c>
      <c r="I1028" s="55">
        <v>25492800000</v>
      </c>
      <c r="J1028" s="55">
        <v>26829574000</v>
      </c>
      <c r="L1028" s="55">
        <v>7044693000</v>
      </c>
      <c r="M1028" s="55">
        <v>32972000000</v>
      </c>
      <c r="N1028" s="55">
        <v>40016693000</v>
      </c>
      <c r="O1028" s="55">
        <v>10144980000</v>
      </c>
      <c r="P1028" s="55">
        <v>0</v>
      </c>
      <c r="Q1028" s="55">
        <v>10144980000</v>
      </c>
      <c r="R1028" s="55">
        <v>1517809000</v>
      </c>
      <c r="S1028" s="55">
        <v>0</v>
      </c>
      <c r="T1028" s="55">
        <v>1517809000</v>
      </c>
      <c r="U1028" s="55">
        <v>48004000</v>
      </c>
      <c r="V1028" s="55">
        <v>0</v>
      </c>
      <c r="W1028" s="55">
        <v>48004000</v>
      </c>
      <c r="X1028" s="55">
        <v>1646000</v>
      </c>
      <c r="Y1028" s="55">
        <v>37005000000</v>
      </c>
      <c r="Z1028" s="55">
        <v>37006646000</v>
      </c>
      <c r="AA1028" s="55">
        <v>209895000</v>
      </c>
      <c r="AB1028" s="55">
        <v>0</v>
      </c>
      <c r="AC1028" s="55">
        <v>209895000</v>
      </c>
      <c r="AD1028" s="55">
        <v>536160000</v>
      </c>
      <c r="AE1028" s="55">
        <v>0</v>
      </c>
      <c r="AF1028" s="55">
        <v>536160000</v>
      </c>
      <c r="AG1028" s="55">
        <v>0</v>
      </c>
      <c r="AH1028" s="55">
        <v>0</v>
      </c>
      <c r="AI1028" s="55">
        <v>0</v>
      </c>
      <c r="AJ1028" s="55">
        <v>19435280</v>
      </c>
      <c r="AK1028" s="55">
        <v>1800060</v>
      </c>
      <c r="AL1028" s="55">
        <v>44933</v>
      </c>
      <c r="AM1028" s="55">
        <v>3391</v>
      </c>
      <c r="AN1028" s="55">
        <v>13571100</v>
      </c>
      <c r="AO1028" s="55">
        <v>9155700</v>
      </c>
      <c r="AQ1028" s="55">
        <v>72083320462540</v>
      </c>
      <c r="AR1028" s="55">
        <v>425300878000</v>
      </c>
      <c r="AS1028" s="55">
        <v>212812521000</v>
      </c>
      <c r="AT1028" s="55">
        <v>592169070600</v>
      </c>
      <c r="AU1028" s="55">
        <f t="shared" si="780"/>
        <v>146388408</v>
      </c>
      <c r="AV1028" s="99">
        <f t="shared" si="781"/>
        <v>33172882287.595997</v>
      </c>
    </row>
    <row r="1029" spans="1:48">
      <c r="A1029" s="92">
        <v>45181</v>
      </c>
      <c r="B1029" s="55">
        <v>157083215000</v>
      </c>
      <c r="C1029" s="55">
        <v>42300023350</v>
      </c>
      <c r="D1029" s="55">
        <v>0</v>
      </c>
      <c r="E1029" s="55">
        <v>0</v>
      </c>
      <c r="F1029" s="55">
        <v>199383238350</v>
      </c>
      <c r="G1029" s="55">
        <v>53833474</v>
      </c>
      <c r="H1029" s="55">
        <v>8375258000</v>
      </c>
      <c r="I1029" s="55">
        <v>4235000000</v>
      </c>
      <c r="J1029" s="55">
        <v>12610258000</v>
      </c>
      <c r="L1029" s="55">
        <v>12597670000</v>
      </c>
      <c r="M1029" s="55">
        <v>19123000000</v>
      </c>
      <c r="N1029" s="55">
        <v>31720670000</v>
      </c>
      <c r="O1029" s="55">
        <v>179915000</v>
      </c>
      <c r="P1029" s="55">
        <v>0</v>
      </c>
      <c r="Q1029" s="55">
        <v>179915000</v>
      </c>
      <c r="R1029" s="55">
        <v>1177763000</v>
      </c>
      <c r="S1029" s="55">
        <v>0</v>
      </c>
      <c r="T1029" s="55">
        <v>1177763000</v>
      </c>
      <c r="U1029" s="55">
        <v>331086000</v>
      </c>
      <c r="V1029" s="55">
        <v>0</v>
      </c>
      <c r="W1029" s="55">
        <v>331086000</v>
      </c>
      <c r="X1029" s="55">
        <v>626107000</v>
      </c>
      <c r="Y1029" s="55">
        <v>0</v>
      </c>
      <c r="Z1029" s="55">
        <v>626107000</v>
      </c>
      <c r="AA1029" s="55">
        <v>2226000</v>
      </c>
      <c r="AB1029" s="55">
        <v>0</v>
      </c>
      <c r="AC1029" s="55">
        <v>2226000</v>
      </c>
      <c r="AD1029" s="55">
        <v>1129000</v>
      </c>
      <c r="AE1029" s="55">
        <v>0</v>
      </c>
      <c r="AF1029" s="55">
        <v>1129000</v>
      </c>
      <c r="AG1029" s="55">
        <v>0</v>
      </c>
      <c r="AH1029" s="55">
        <v>0</v>
      </c>
      <c r="AI1029" s="55">
        <v>0</v>
      </c>
      <c r="AJ1029" s="55">
        <v>6719885</v>
      </c>
      <c r="AK1029" s="55">
        <v>915750</v>
      </c>
      <c r="AL1029" s="55">
        <v>44933</v>
      </c>
      <c r="AM1029" s="55">
        <v>1530</v>
      </c>
      <c r="AN1029" s="55">
        <v>14519700</v>
      </c>
      <c r="AO1029" s="55">
        <v>4131000</v>
      </c>
      <c r="AQ1029" s="55">
        <v>51956320607000</v>
      </c>
      <c r="AR1029" s="55">
        <v>127927384000</v>
      </c>
      <c r="AS1029" s="55">
        <v>71124978000</v>
      </c>
      <c r="AT1029" s="55">
        <v>270508216350</v>
      </c>
      <c r="AU1029" s="55">
        <f t="shared" si="780"/>
        <v>80119809</v>
      </c>
      <c r="AV1029" s="99">
        <f t="shared" si="781"/>
        <v>33253002096.595997</v>
      </c>
    </row>
    <row r="1030" spans="1:48">
      <c r="A1030" s="92">
        <v>45182</v>
      </c>
      <c r="B1030" s="55">
        <v>427120595000</v>
      </c>
      <c r="C1030" s="55">
        <v>0</v>
      </c>
      <c r="D1030" s="55">
        <v>0</v>
      </c>
      <c r="E1030" s="55">
        <v>6909185000</v>
      </c>
      <c r="F1030" s="55">
        <v>434029780000</v>
      </c>
      <c r="G1030" s="55">
        <v>117188041</v>
      </c>
      <c r="H1030" s="55">
        <v>3953568000</v>
      </c>
      <c r="I1030" s="55">
        <v>30033200000</v>
      </c>
      <c r="J1030" s="55">
        <v>33986768000</v>
      </c>
      <c r="L1030" s="55">
        <v>14649909000</v>
      </c>
      <c r="M1030" s="55">
        <v>16707000000</v>
      </c>
      <c r="N1030" s="55">
        <v>31356909000</v>
      </c>
      <c r="O1030" s="55">
        <v>3365408000</v>
      </c>
      <c r="P1030" s="55">
        <v>0</v>
      </c>
      <c r="Q1030" s="55">
        <v>3365408000</v>
      </c>
      <c r="R1030" s="55">
        <v>849379000</v>
      </c>
      <c r="S1030" s="55">
        <v>0</v>
      </c>
      <c r="T1030" s="55">
        <v>849379000</v>
      </c>
      <c r="U1030" s="55">
        <v>26353000</v>
      </c>
      <c r="V1030" s="55">
        <v>0</v>
      </c>
      <c r="W1030" s="55">
        <v>26353000</v>
      </c>
      <c r="X1030" s="55">
        <v>204364000</v>
      </c>
      <c r="Y1030" s="55">
        <v>0</v>
      </c>
      <c r="Z1030" s="55">
        <v>204364000</v>
      </c>
      <c r="AA1030" s="55">
        <v>175422000</v>
      </c>
      <c r="AB1030" s="55">
        <v>0</v>
      </c>
      <c r="AC1030" s="55">
        <v>175422000</v>
      </c>
      <c r="AD1030" s="55">
        <v>224200000</v>
      </c>
      <c r="AE1030" s="55">
        <v>0</v>
      </c>
      <c r="AF1030" s="55">
        <v>224200000</v>
      </c>
      <c r="AG1030" s="55">
        <v>0</v>
      </c>
      <c r="AH1030" s="55">
        <v>0</v>
      </c>
      <c r="AI1030" s="55">
        <v>0</v>
      </c>
      <c r="AJ1030" s="55">
        <v>10945685</v>
      </c>
      <c r="AK1030" s="55">
        <v>2358300</v>
      </c>
      <c r="AL1030" s="55">
        <v>44933</v>
      </c>
      <c r="AM1030" s="55">
        <v>3450</v>
      </c>
      <c r="AN1030" s="55">
        <v>9118800</v>
      </c>
      <c r="AO1030" s="55">
        <v>9315000</v>
      </c>
      <c r="AQ1030" s="55">
        <v>68002020000000</v>
      </c>
      <c r="AR1030" s="55">
        <v>196596420000</v>
      </c>
      <c r="AS1030" s="55">
        <v>126907360000</v>
      </c>
      <c r="AT1030" s="55">
        <v>560937140000</v>
      </c>
      <c r="AU1030" s="55">
        <f t="shared" si="780"/>
        <v>148925826</v>
      </c>
      <c r="AV1030" s="99">
        <f t="shared" si="781"/>
        <v>33401927922.595997</v>
      </c>
    </row>
    <row r="1031" spans="1:48">
      <c r="A1031" s="92">
        <v>45183</v>
      </c>
      <c r="B1031" s="55">
        <v>247890990000</v>
      </c>
      <c r="C1031" s="55">
        <v>29485785000</v>
      </c>
      <c r="D1031" s="55">
        <v>0</v>
      </c>
      <c r="E1031" s="55">
        <v>0</v>
      </c>
      <c r="F1031" s="55">
        <v>277376775000</v>
      </c>
      <c r="G1031" s="55">
        <v>74891729</v>
      </c>
      <c r="H1031" s="55">
        <v>1851691000</v>
      </c>
      <c r="I1031" s="55">
        <v>0</v>
      </c>
      <c r="J1031" s="55">
        <v>1851691000</v>
      </c>
      <c r="L1031" s="55">
        <v>11822053000</v>
      </c>
      <c r="M1031" s="55">
        <v>0</v>
      </c>
      <c r="N1031" s="55">
        <v>11822053000</v>
      </c>
      <c r="O1031" s="55">
        <v>14374383000</v>
      </c>
      <c r="P1031" s="55">
        <v>0</v>
      </c>
      <c r="Q1031" s="55">
        <v>14374383000</v>
      </c>
      <c r="R1031" s="55">
        <v>1297965000</v>
      </c>
      <c r="S1031" s="55">
        <v>0</v>
      </c>
      <c r="T1031" s="55">
        <v>1297965000</v>
      </c>
      <c r="U1031" s="55">
        <v>42925000</v>
      </c>
      <c r="V1031" s="55">
        <v>0</v>
      </c>
      <c r="W1031" s="55">
        <v>42925000</v>
      </c>
      <c r="X1031" s="55">
        <v>820000</v>
      </c>
      <c r="Y1031" s="55">
        <v>0</v>
      </c>
      <c r="Z1031" s="55">
        <v>820000</v>
      </c>
      <c r="AA1031" s="55">
        <v>115119000</v>
      </c>
      <c r="AB1031" s="55">
        <v>0</v>
      </c>
      <c r="AC1031" s="55">
        <v>115119000</v>
      </c>
      <c r="AD1031" s="55">
        <v>0</v>
      </c>
      <c r="AE1031" s="55">
        <v>0</v>
      </c>
      <c r="AF1031" s="55">
        <v>0</v>
      </c>
      <c r="AG1031" s="55">
        <v>0</v>
      </c>
      <c r="AH1031" s="55">
        <v>0</v>
      </c>
      <c r="AI1031" s="55">
        <v>0</v>
      </c>
      <c r="AJ1031" s="55">
        <v>3186535</v>
      </c>
      <c r="AK1031" s="55">
        <v>1502839.8</v>
      </c>
      <c r="AL1031" s="55">
        <v>44933</v>
      </c>
      <c r="AM1031" s="55">
        <v>2552</v>
      </c>
      <c r="AN1031" s="55">
        <v>8532300</v>
      </c>
      <c r="AO1031" s="55">
        <v>6890400</v>
      </c>
      <c r="AQ1031" s="55">
        <v>61536837606200</v>
      </c>
      <c r="AR1031" s="55">
        <v>272056946000</v>
      </c>
      <c r="AS1031" s="55">
        <v>110346456000</v>
      </c>
      <c r="AT1031" s="55">
        <v>387723231000</v>
      </c>
      <c r="AU1031" s="55">
        <f t="shared" si="780"/>
        <v>95003803.799999997</v>
      </c>
      <c r="AV1031" s="99">
        <f t="shared" si="781"/>
        <v>33496931726.395996</v>
      </c>
    </row>
    <row r="1032" spans="1:48">
      <c r="A1032" s="92">
        <v>45184</v>
      </c>
      <c r="B1032" s="55">
        <v>227477385000</v>
      </c>
      <c r="C1032" s="55">
        <v>0</v>
      </c>
      <c r="D1032" s="55">
        <v>0</v>
      </c>
      <c r="E1032" s="55">
        <v>0</v>
      </c>
      <c r="F1032" s="55">
        <v>227477385000</v>
      </c>
      <c r="G1032" s="55">
        <v>61418894</v>
      </c>
      <c r="H1032" s="55">
        <v>187518000</v>
      </c>
      <c r="I1032" s="55">
        <v>0</v>
      </c>
      <c r="J1032" s="55">
        <v>187518000</v>
      </c>
      <c r="L1032" s="55">
        <v>2724886000</v>
      </c>
      <c r="M1032" s="55">
        <v>0</v>
      </c>
      <c r="N1032" s="55">
        <v>2724886000</v>
      </c>
      <c r="O1032" s="55">
        <v>6441548000</v>
      </c>
      <c r="P1032" s="55">
        <v>0</v>
      </c>
      <c r="Q1032" s="55">
        <v>6441548000</v>
      </c>
      <c r="R1032" s="55">
        <v>845861000</v>
      </c>
      <c r="S1032" s="55">
        <v>0</v>
      </c>
      <c r="T1032" s="55">
        <v>845861000</v>
      </c>
      <c r="U1032" s="55">
        <v>32238000</v>
      </c>
      <c r="V1032" s="55">
        <v>0</v>
      </c>
      <c r="W1032" s="55">
        <v>32238000</v>
      </c>
      <c r="X1032" s="55">
        <v>5691000</v>
      </c>
      <c r="Y1032" s="55">
        <v>24460500000</v>
      </c>
      <c r="Z1032" s="55">
        <v>24466191000</v>
      </c>
      <c r="AA1032" s="55">
        <v>0</v>
      </c>
      <c r="AB1032" s="55">
        <v>0</v>
      </c>
      <c r="AC1032" s="55">
        <v>0</v>
      </c>
      <c r="AD1032" s="55">
        <v>0</v>
      </c>
      <c r="AE1032" s="55">
        <v>0</v>
      </c>
      <c r="AF1032" s="55">
        <v>0</v>
      </c>
      <c r="AG1032" s="55">
        <v>0</v>
      </c>
      <c r="AH1032" s="55">
        <v>0</v>
      </c>
      <c r="AI1032" s="55">
        <v>0</v>
      </c>
      <c r="AJ1032" s="55">
        <v>5508566</v>
      </c>
      <c r="AK1032" s="55">
        <v>798360</v>
      </c>
      <c r="AL1032" s="55">
        <v>44933</v>
      </c>
      <c r="AM1032" s="55">
        <v>1691</v>
      </c>
      <c r="AN1032" s="55">
        <v>33820650</v>
      </c>
      <c r="AO1032" s="55">
        <v>4565700</v>
      </c>
      <c r="AQ1032" s="55">
        <v>48894199144200</v>
      </c>
      <c r="AR1032" s="55">
        <v>167621518000</v>
      </c>
      <c r="AS1032" s="55">
        <v>60255609000</v>
      </c>
      <c r="AT1032" s="55">
        <v>287732994000</v>
      </c>
      <c r="AU1032" s="55">
        <f t="shared" si="780"/>
        <v>106112170</v>
      </c>
      <c r="AV1032" s="99">
        <f t="shared" si="781"/>
        <v>33603043896.395996</v>
      </c>
    </row>
    <row r="1033" spans="1:48">
      <c r="A1033" s="92">
        <v>45187</v>
      </c>
      <c r="B1033" s="55">
        <v>136941855000</v>
      </c>
      <c r="C1033" s="55">
        <v>11469010300</v>
      </c>
      <c r="D1033" s="55">
        <v>0</v>
      </c>
      <c r="E1033" s="55">
        <v>0</v>
      </c>
      <c r="F1033" s="55">
        <v>148410865300</v>
      </c>
      <c r="G1033" s="55">
        <v>40070934</v>
      </c>
      <c r="H1033" s="55">
        <v>5622432000</v>
      </c>
      <c r="I1033" s="55">
        <v>8375600000</v>
      </c>
      <c r="J1033" s="55">
        <v>13998032000</v>
      </c>
      <c r="L1033" s="55">
        <v>3131792000</v>
      </c>
      <c r="M1033" s="55">
        <v>5473000000</v>
      </c>
      <c r="N1033" s="55">
        <v>8604792000</v>
      </c>
      <c r="O1033" s="55">
        <v>75283000</v>
      </c>
      <c r="P1033" s="55">
        <v>0</v>
      </c>
      <c r="Q1033" s="55">
        <v>75283000</v>
      </c>
      <c r="R1033" s="55">
        <v>2743695000</v>
      </c>
      <c r="S1033" s="55">
        <v>0</v>
      </c>
      <c r="T1033" s="55">
        <v>2743695000</v>
      </c>
      <c r="U1033" s="55">
        <v>143823000</v>
      </c>
      <c r="V1033" s="55">
        <v>0</v>
      </c>
      <c r="W1033" s="55">
        <v>143823000</v>
      </c>
      <c r="X1033" s="55">
        <v>0</v>
      </c>
      <c r="Y1033" s="55">
        <v>0</v>
      </c>
      <c r="Z1033" s="55">
        <v>0</v>
      </c>
      <c r="AA1033" s="55">
        <v>55991000</v>
      </c>
      <c r="AB1033" s="55">
        <v>0</v>
      </c>
      <c r="AC1033" s="55">
        <v>55991000</v>
      </c>
      <c r="AD1033" s="55">
        <v>0</v>
      </c>
      <c r="AE1033" s="55">
        <v>0</v>
      </c>
      <c r="AF1033" s="55">
        <v>0</v>
      </c>
      <c r="AG1033" s="55">
        <v>0</v>
      </c>
      <c r="AH1033" s="55">
        <v>0</v>
      </c>
      <c r="AI1033" s="55">
        <v>0</v>
      </c>
      <c r="AJ1033" s="55">
        <v>3764234</v>
      </c>
      <c r="AK1033" s="55">
        <v>1002300</v>
      </c>
      <c r="AL1033" s="55">
        <v>44933</v>
      </c>
      <c r="AM1033" s="55">
        <v>2805</v>
      </c>
      <c r="AN1033" s="55">
        <v>8649600</v>
      </c>
      <c r="AO1033" s="55">
        <v>7573500</v>
      </c>
      <c r="AQ1033" s="55">
        <v>45111948966800</v>
      </c>
      <c r="AR1033" s="55">
        <v>172958046000</v>
      </c>
      <c r="AS1033" s="55">
        <v>41819979500</v>
      </c>
      <c r="AT1033" s="55">
        <v>190230844800</v>
      </c>
      <c r="AU1033" s="55">
        <f t="shared" si="780"/>
        <v>61060568</v>
      </c>
      <c r="AV1033" s="99">
        <f t="shared" si="781"/>
        <v>33664104464.395996</v>
      </c>
    </row>
    <row r="1034" spans="1:48">
      <c r="A1034" s="92">
        <v>45188</v>
      </c>
      <c r="B1034" s="55">
        <v>152795292000</v>
      </c>
      <c r="C1034" s="55">
        <v>0</v>
      </c>
      <c r="D1034" s="55">
        <v>0</v>
      </c>
      <c r="E1034" s="55">
        <v>9898653800</v>
      </c>
      <c r="F1034" s="55">
        <v>162693945800</v>
      </c>
      <c r="G1034" s="55">
        <v>43927365</v>
      </c>
      <c r="H1034" s="55">
        <v>1078120000</v>
      </c>
      <c r="I1034" s="55">
        <v>0</v>
      </c>
      <c r="J1034" s="55">
        <v>1078120000</v>
      </c>
      <c r="L1034" s="55">
        <v>5008985000</v>
      </c>
      <c r="M1034" s="55">
        <v>0</v>
      </c>
      <c r="N1034" s="55">
        <v>5008985000</v>
      </c>
      <c r="O1034" s="55">
        <v>113135000</v>
      </c>
      <c r="P1034" s="55">
        <v>0</v>
      </c>
      <c r="Q1034" s="55">
        <v>113135000</v>
      </c>
      <c r="R1034" s="55">
        <v>2430760000</v>
      </c>
      <c r="S1034" s="55">
        <v>0</v>
      </c>
      <c r="T1034" s="55">
        <v>2430760000</v>
      </c>
      <c r="U1034" s="55">
        <v>106911000</v>
      </c>
      <c r="V1034" s="55">
        <v>0</v>
      </c>
      <c r="W1034" s="55">
        <v>106911000</v>
      </c>
      <c r="X1034" s="55">
        <v>2400000</v>
      </c>
      <c r="Y1034" s="55">
        <v>0</v>
      </c>
      <c r="Z1034" s="55">
        <v>2400000</v>
      </c>
      <c r="AA1034" s="55">
        <v>2351947000</v>
      </c>
      <c r="AB1034" s="55">
        <v>0</v>
      </c>
      <c r="AC1034" s="55">
        <v>2351947000</v>
      </c>
      <c r="AD1034" s="55">
        <v>144875000</v>
      </c>
      <c r="AE1034" s="55">
        <v>0</v>
      </c>
      <c r="AF1034" s="55">
        <v>144875000</v>
      </c>
      <c r="AG1034" s="55">
        <v>0</v>
      </c>
      <c r="AH1034" s="55">
        <v>451000000</v>
      </c>
      <c r="AI1034" s="55">
        <v>451000000</v>
      </c>
      <c r="AJ1034" s="55">
        <v>1294790</v>
      </c>
      <c r="AK1034" s="55">
        <v>437700</v>
      </c>
      <c r="AL1034" s="55">
        <v>44933</v>
      </c>
      <c r="AM1034" s="55">
        <v>5286</v>
      </c>
      <c r="AN1034" s="55">
        <v>9985800</v>
      </c>
      <c r="AO1034" s="55">
        <v>14272200</v>
      </c>
      <c r="AQ1034" s="55">
        <v>52243126145800</v>
      </c>
      <c r="AR1034" s="55">
        <v>105962850000</v>
      </c>
      <c r="AS1034" s="55">
        <v>11721933000</v>
      </c>
      <c r="AT1034" s="55">
        <v>175317878800</v>
      </c>
      <c r="AU1034" s="55">
        <f t="shared" si="780"/>
        <v>69917855</v>
      </c>
      <c r="AV1034" s="99">
        <f t="shared" si="781"/>
        <v>33734022319.395996</v>
      </c>
    </row>
    <row r="1035" spans="1:48">
      <c r="A1035" s="92">
        <v>45189</v>
      </c>
      <c r="B1035" s="55">
        <v>171733025000</v>
      </c>
      <c r="C1035" s="55">
        <v>0</v>
      </c>
      <c r="D1035" s="55">
        <v>0</v>
      </c>
      <c r="E1035" s="55">
        <v>0</v>
      </c>
      <c r="F1035" s="55">
        <v>171733025000</v>
      </c>
      <c r="G1035" s="55">
        <v>46367917</v>
      </c>
      <c r="H1035" s="55">
        <v>697551000</v>
      </c>
      <c r="I1035" s="55">
        <v>4221800000</v>
      </c>
      <c r="J1035" s="55">
        <v>4919351000</v>
      </c>
      <c r="L1035" s="55">
        <v>2959926000</v>
      </c>
      <c r="M1035" s="55">
        <v>2752000000</v>
      </c>
      <c r="N1035" s="55">
        <v>5711926000</v>
      </c>
      <c r="O1035" s="55">
        <v>3485496000</v>
      </c>
      <c r="P1035" s="55">
        <v>0</v>
      </c>
      <c r="Q1035" s="55">
        <v>3485496000</v>
      </c>
      <c r="R1035" s="55">
        <v>1578943000</v>
      </c>
      <c r="S1035" s="55">
        <v>0</v>
      </c>
      <c r="T1035" s="55">
        <v>1578943000</v>
      </c>
      <c r="U1035" s="55">
        <v>56236000</v>
      </c>
      <c r="V1035" s="55">
        <v>0</v>
      </c>
      <c r="W1035" s="55">
        <v>56236000</v>
      </c>
      <c r="X1035" s="55">
        <v>809000</v>
      </c>
      <c r="Y1035" s="55">
        <v>0</v>
      </c>
      <c r="Z1035" s="55">
        <v>809000</v>
      </c>
      <c r="AA1035" s="55">
        <v>161449000</v>
      </c>
      <c r="AB1035" s="55">
        <v>0</v>
      </c>
      <c r="AC1035" s="55">
        <v>161449000</v>
      </c>
      <c r="AD1035" s="55">
        <v>0</v>
      </c>
      <c r="AE1035" s="55">
        <v>0</v>
      </c>
      <c r="AF1035" s="55">
        <v>0</v>
      </c>
      <c r="AG1035" s="55">
        <v>0</v>
      </c>
      <c r="AH1035" s="55">
        <v>0</v>
      </c>
      <c r="AI1035" s="55">
        <v>0</v>
      </c>
      <c r="AJ1035" s="55">
        <v>2220848</v>
      </c>
      <c r="AK1035" s="55">
        <v>937590</v>
      </c>
      <c r="AL1035" s="55">
        <v>44933</v>
      </c>
      <c r="AM1035" s="55">
        <v>2215</v>
      </c>
      <c r="AN1035" s="55">
        <v>11406150</v>
      </c>
      <c r="AO1035" s="55">
        <v>5980500</v>
      </c>
      <c r="AQ1035" s="55">
        <v>46213799608200</v>
      </c>
      <c r="AR1035" s="55">
        <v>146529264000</v>
      </c>
      <c r="AS1035" s="55">
        <v>23143114000</v>
      </c>
      <c r="AT1035" s="55">
        <v>195222679000</v>
      </c>
      <c r="AU1035" s="55">
        <f t="shared" si="780"/>
        <v>66913005</v>
      </c>
      <c r="AV1035" s="99">
        <f t="shared" si="781"/>
        <v>33800935324.395996</v>
      </c>
    </row>
    <row r="1036" spans="1:48">
      <c r="A1036" s="92">
        <v>45190</v>
      </c>
      <c r="B1036" s="55">
        <v>305806505000</v>
      </c>
      <c r="C1036" s="55">
        <v>0</v>
      </c>
      <c r="D1036" s="55">
        <v>0</v>
      </c>
      <c r="E1036" s="55">
        <v>0</v>
      </c>
      <c r="F1036" s="55">
        <v>305806505000</v>
      </c>
      <c r="G1036" s="55">
        <v>82567756</v>
      </c>
      <c r="H1036" s="55">
        <v>2659439000</v>
      </c>
      <c r="I1036" s="55">
        <v>0</v>
      </c>
      <c r="J1036" s="55">
        <v>2659439000</v>
      </c>
      <c r="L1036" s="55">
        <v>9342585000</v>
      </c>
      <c r="M1036" s="55">
        <v>0</v>
      </c>
      <c r="N1036" s="55">
        <v>9342585000</v>
      </c>
      <c r="O1036" s="55">
        <v>1548790000</v>
      </c>
      <c r="P1036" s="55">
        <v>0</v>
      </c>
      <c r="Q1036" s="55">
        <v>1548790000</v>
      </c>
      <c r="R1036" s="55">
        <v>974632000</v>
      </c>
      <c r="S1036" s="55">
        <v>0</v>
      </c>
      <c r="T1036" s="55">
        <v>974632000</v>
      </c>
      <c r="U1036" s="55">
        <v>333054000</v>
      </c>
      <c r="V1036" s="55">
        <v>0</v>
      </c>
      <c r="W1036" s="55">
        <v>333054000</v>
      </c>
      <c r="X1036" s="55">
        <v>319760000</v>
      </c>
      <c r="Y1036" s="55">
        <v>0</v>
      </c>
      <c r="Z1036" s="55">
        <v>319760000</v>
      </c>
      <c r="AA1036" s="55">
        <v>12254000</v>
      </c>
      <c r="AB1036" s="55">
        <v>0</v>
      </c>
      <c r="AC1036" s="55">
        <v>12254000</v>
      </c>
      <c r="AD1036" s="55">
        <v>32364000</v>
      </c>
      <c r="AE1036" s="55">
        <v>0</v>
      </c>
      <c r="AF1036" s="55">
        <v>32364000</v>
      </c>
      <c r="AG1036" s="55">
        <v>0</v>
      </c>
      <c r="AH1036" s="55">
        <v>0</v>
      </c>
      <c r="AI1036" s="55">
        <v>0</v>
      </c>
      <c r="AJ1036" s="55">
        <v>1644071</v>
      </c>
      <c r="AK1036" s="55">
        <v>874020</v>
      </c>
      <c r="AL1036" s="55">
        <v>44933</v>
      </c>
      <c r="AM1036" s="55">
        <v>2810</v>
      </c>
      <c r="AN1036" s="55">
        <v>10187250</v>
      </c>
      <c r="AO1036" s="55">
        <v>7587000</v>
      </c>
      <c r="AQ1036" s="55">
        <v>53566516049600</v>
      </c>
      <c r="AR1036" s="55">
        <v>204560946000</v>
      </c>
      <c r="AS1036" s="55">
        <v>137646285000</v>
      </c>
      <c r="AT1036" s="55">
        <v>443452790000</v>
      </c>
      <c r="AU1036" s="55">
        <f t="shared" si="780"/>
        <v>102860097</v>
      </c>
      <c r="AV1036" s="99">
        <f t="shared" si="781"/>
        <v>33903795421.395996</v>
      </c>
    </row>
    <row r="1037" spans="1:48">
      <c r="A1037" s="92">
        <v>45191</v>
      </c>
      <c r="B1037" s="55">
        <v>259830526000</v>
      </c>
      <c r="C1037" s="55">
        <v>0</v>
      </c>
      <c r="D1037" s="55">
        <v>0</v>
      </c>
      <c r="E1037" s="55">
        <v>0</v>
      </c>
      <c r="F1037" s="55">
        <v>259830526000</v>
      </c>
      <c r="G1037" s="55">
        <v>70154242</v>
      </c>
      <c r="H1037" s="55">
        <v>22242933000</v>
      </c>
      <c r="I1037" s="55">
        <v>2042400000</v>
      </c>
      <c r="J1037" s="55">
        <v>24285333000</v>
      </c>
      <c r="L1037" s="55">
        <v>3821630000</v>
      </c>
      <c r="M1037" s="55">
        <v>0</v>
      </c>
      <c r="N1037" s="55">
        <v>3821630000</v>
      </c>
      <c r="O1037" s="55">
        <v>6227393000</v>
      </c>
      <c r="P1037" s="55">
        <v>0</v>
      </c>
      <c r="Q1037" s="55">
        <v>6227393000</v>
      </c>
      <c r="R1037" s="55">
        <v>3657119000</v>
      </c>
      <c r="S1037" s="55">
        <v>0</v>
      </c>
      <c r="T1037" s="55">
        <v>3657119000</v>
      </c>
      <c r="U1037" s="55">
        <v>589328000</v>
      </c>
      <c r="V1037" s="55">
        <v>0</v>
      </c>
      <c r="W1037" s="55">
        <v>589328000</v>
      </c>
      <c r="X1037" s="55">
        <v>97662000</v>
      </c>
      <c r="Y1037" s="55">
        <v>0</v>
      </c>
      <c r="Z1037" s="55">
        <v>97662000</v>
      </c>
      <c r="AA1037" s="55">
        <v>303361000</v>
      </c>
      <c r="AB1037" s="55">
        <v>0</v>
      </c>
      <c r="AC1037" s="55">
        <v>303361000</v>
      </c>
      <c r="AD1037" s="55">
        <v>6524000</v>
      </c>
      <c r="AE1037" s="55">
        <v>0</v>
      </c>
      <c r="AF1037" s="55">
        <v>6524000</v>
      </c>
      <c r="AG1037" s="55">
        <v>0</v>
      </c>
      <c r="AH1037" s="55">
        <v>0</v>
      </c>
      <c r="AI1037" s="55">
        <v>0</v>
      </c>
      <c r="AJ1037" s="55">
        <v>4357795</v>
      </c>
      <c r="AK1037" s="55">
        <v>1549170</v>
      </c>
      <c r="AL1037" s="55">
        <v>44933</v>
      </c>
      <c r="AM1037" s="55">
        <v>2576</v>
      </c>
      <c r="AN1037" s="55">
        <v>26277750</v>
      </c>
      <c r="AO1037" s="55">
        <v>6955200</v>
      </c>
      <c r="AQ1037" s="55">
        <v>74538058005400</v>
      </c>
      <c r="AR1037" s="55">
        <v>263758854000</v>
      </c>
      <c r="AS1037" s="55">
        <v>41780080000</v>
      </c>
      <c r="AT1037" s="55">
        <v>301610606000</v>
      </c>
      <c r="AU1037" s="55">
        <f t="shared" si="780"/>
        <v>109294157</v>
      </c>
      <c r="AV1037" s="99">
        <f t="shared" si="781"/>
        <v>34013089578.395996</v>
      </c>
    </row>
    <row r="1038" spans="1:48">
      <c r="A1038" s="92">
        <v>45194</v>
      </c>
      <c r="B1038" s="55">
        <v>271154396000</v>
      </c>
      <c r="C1038" s="55">
        <v>0</v>
      </c>
      <c r="D1038" s="55">
        <v>0</v>
      </c>
      <c r="E1038" s="55">
        <v>0</v>
      </c>
      <c r="F1038" s="55">
        <v>271154396000</v>
      </c>
      <c r="G1038" s="55">
        <v>73211687</v>
      </c>
      <c r="H1038" s="55">
        <v>7061067000</v>
      </c>
      <c r="I1038" s="55">
        <v>10188400000</v>
      </c>
      <c r="J1038" s="55">
        <v>17249467000</v>
      </c>
      <c r="L1038" s="55">
        <v>6521744000</v>
      </c>
      <c r="M1038" s="55">
        <v>5298800000</v>
      </c>
      <c r="N1038" s="55">
        <v>11820544000</v>
      </c>
      <c r="O1038" s="55">
        <v>3868785000</v>
      </c>
      <c r="P1038" s="55">
        <v>0</v>
      </c>
      <c r="Q1038" s="55">
        <v>3868785000</v>
      </c>
      <c r="R1038" s="55">
        <v>2559427000</v>
      </c>
      <c r="S1038" s="55">
        <v>0</v>
      </c>
      <c r="T1038" s="55">
        <v>2559427000</v>
      </c>
      <c r="U1038" s="55">
        <v>397061000</v>
      </c>
      <c r="V1038" s="55">
        <v>0</v>
      </c>
      <c r="W1038" s="55">
        <v>397061000</v>
      </c>
      <c r="X1038" s="55">
        <v>7786000</v>
      </c>
      <c r="Y1038" s="55">
        <v>0</v>
      </c>
      <c r="Z1038" s="55">
        <v>7786000</v>
      </c>
      <c r="AA1038" s="55">
        <v>630970000</v>
      </c>
      <c r="AB1038" s="55">
        <v>0</v>
      </c>
      <c r="AC1038" s="55">
        <v>630970000</v>
      </c>
      <c r="AD1038" s="55">
        <v>0</v>
      </c>
      <c r="AE1038" s="55">
        <v>0</v>
      </c>
      <c r="AF1038" s="55">
        <v>0</v>
      </c>
      <c r="AG1038" s="55">
        <v>0</v>
      </c>
      <c r="AH1038" s="55">
        <v>0</v>
      </c>
      <c r="AI1038" s="55">
        <v>0</v>
      </c>
      <c r="AJ1038" s="55">
        <v>5060755</v>
      </c>
      <c r="AK1038" s="55">
        <v>455580</v>
      </c>
      <c r="AL1038" s="55">
        <v>44933</v>
      </c>
      <c r="AM1038" s="55">
        <v>2282</v>
      </c>
      <c r="AN1038" s="55">
        <v>13191150</v>
      </c>
      <c r="AO1038" s="55">
        <v>6161400</v>
      </c>
      <c r="AQ1038" s="55">
        <v>54768049298000</v>
      </c>
      <c r="AR1038" s="55">
        <v>155339144000</v>
      </c>
      <c r="AS1038" s="55">
        <v>52532571000</v>
      </c>
      <c r="AT1038" s="55">
        <v>323686967000</v>
      </c>
      <c r="AU1038" s="55">
        <f t="shared" si="780"/>
        <v>98080572</v>
      </c>
      <c r="AV1038" s="99">
        <f t="shared" si="781"/>
        <v>34111170150.395996</v>
      </c>
    </row>
    <row r="1039" spans="1:48">
      <c r="A1039" s="92">
        <v>45195</v>
      </c>
      <c r="B1039" s="55">
        <v>549300004000</v>
      </c>
      <c r="C1039" s="55">
        <v>10894667750</v>
      </c>
      <c r="D1039" s="55">
        <v>0</v>
      </c>
      <c r="E1039" s="55">
        <v>0</v>
      </c>
      <c r="F1039" s="55">
        <v>560194671750</v>
      </c>
      <c r="G1039" s="55">
        <v>151252561</v>
      </c>
      <c r="H1039" s="55">
        <v>12563625000</v>
      </c>
      <c r="I1039" s="55">
        <v>90278000000</v>
      </c>
      <c r="J1039" s="55">
        <v>102841625000</v>
      </c>
      <c r="L1039" s="55">
        <v>7179338000</v>
      </c>
      <c r="M1039" s="55">
        <v>7834500000</v>
      </c>
      <c r="N1039" s="55">
        <v>15013838000</v>
      </c>
      <c r="O1039" s="55">
        <v>8650300000</v>
      </c>
      <c r="P1039" s="55">
        <v>0</v>
      </c>
      <c r="Q1039" s="55">
        <v>8650300000</v>
      </c>
      <c r="R1039" s="55">
        <v>4239224000</v>
      </c>
      <c r="S1039" s="55">
        <v>0</v>
      </c>
      <c r="T1039" s="55">
        <v>4239224000</v>
      </c>
      <c r="U1039" s="55">
        <v>305987000</v>
      </c>
      <c r="V1039" s="55">
        <v>0</v>
      </c>
      <c r="W1039" s="55">
        <v>305987000</v>
      </c>
      <c r="X1039" s="55">
        <v>21495000</v>
      </c>
      <c r="Y1039" s="55">
        <v>0</v>
      </c>
      <c r="Z1039" s="55">
        <v>21495000</v>
      </c>
      <c r="AA1039" s="55">
        <v>242447000</v>
      </c>
      <c r="AB1039" s="55">
        <v>0</v>
      </c>
      <c r="AC1039" s="55">
        <v>242447000</v>
      </c>
      <c r="AD1039" s="55">
        <v>0</v>
      </c>
      <c r="AE1039" s="55">
        <v>0</v>
      </c>
      <c r="AF1039" s="55">
        <v>0</v>
      </c>
      <c r="AG1039" s="55">
        <v>0</v>
      </c>
      <c r="AH1039" s="55">
        <v>0</v>
      </c>
      <c r="AI1039" s="55">
        <v>0</v>
      </c>
      <c r="AJ1039" s="55">
        <v>21246111</v>
      </c>
      <c r="AK1039" s="55">
        <v>2377920</v>
      </c>
      <c r="AL1039" s="55">
        <v>44933</v>
      </c>
      <c r="AM1039" s="55">
        <v>4438</v>
      </c>
      <c r="AN1039" s="55">
        <v>13798050</v>
      </c>
      <c r="AO1039" s="55">
        <v>11982600</v>
      </c>
      <c r="AQ1039" s="55">
        <v>49518630919800</v>
      </c>
      <c r="AR1039" s="55">
        <v>535886090000</v>
      </c>
      <c r="AS1039" s="55">
        <v>229887016000</v>
      </c>
      <c r="AT1039" s="55">
        <v>790081687750</v>
      </c>
      <c r="AU1039" s="55">
        <f t="shared" si="780"/>
        <v>200657242</v>
      </c>
      <c r="AV1039" s="99">
        <f t="shared" si="781"/>
        <v>34311827392.395996</v>
      </c>
    </row>
    <row r="1040" spans="1:48">
      <c r="A1040" s="92">
        <v>45196</v>
      </c>
      <c r="B1040" s="55">
        <v>298615680000</v>
      </c>
      <c r="C1040" s="55">
        <v>0</v>
      </c>
      <c r="D1040" s="55">
        <v>0</v>
      </c>
      <c r="E1040" s="55">
        <v>0</v>
      </c>
      <c r="F1040" s="55">
        <v>298615680000</v>
      </c>
      <c r="G1040" s="55">
        <v>80626234</v>
      </c>
      <c r="H1040" s="55">
        <v>2517768000</v>
      </c>
      <c r="I1040" s="55">
        <v>50585250000</v>
      </c>
      <c r="J1040" s="55">
        <v>53103018000</v>
      </c>
      <c r="L1040" s="55">
        <v>10856635000</v>
      </c>
      <c r="M1040" s="55">
        <v>7781800000</v>
      </c>
      <c r="N1040" s="55">
        <v>18638435000</v>
      </c>
      <c r="O1040" s="55">
        <v>8180180000</v>
      </c>
      <c r="P1040" s="55">
        <v>0</v>
      </c>
      <c r="Q1040" s="55">
        <v>8180180000</v>
      </c>
      <c r="R1040" s="55">
        <v>150064000</v>
      </c>
      <c r="S1040" s="55">
        <v>0</v>
      </c>
      <c r="T1040" s="55">
        <v>150064000</v>
      </c>
      <c r="U1040" s="55">
        <v>368335000</v>
      </c>
      <c r="V1040" s="55">
        <v>0</v>
      </c>
      <c r="W1040" s="55">
        <v>368335000</v>
      </c>
      <c r="X1040" s="55">
        <v>52263000</v>
      </c>
      <c r="Y1040" s="55">
        <v>0</v>
      </c>
      <c r="Z1040" s="55">
        <v>52263000</v>
      </c>
      <c r="AA1040" s="55">
        <v>1080112000</v>
      </c>
      <c r="AB1040" s="55">
        <v>0</v>
      </c>
      <c r="AC1040" s="55">
        <v>1080112000</v>
      </c>
      <c r="AD1040" s="55">
        <v>0</v>
      </c>
      <c r="AE1040" s="55">
        <v>0</v>
      </c>
      <c r="AF1040" s="55">
        <v>0</v>
      </c>
      <c r="AG1040" s="55">
        <v>0</v>
      </c>
      <c r="AH1040" s="55">
        <v>0</v>
      </c>
      <c r="AI1040" s="55">
        <v>0</v>
      </c>
      <c r="AJ1040" s="55">
        <v>13012248</v>
      </c>
      <c r="AK1040" s="55">
        <v>1467150</v>
      </c>
      <c r="AL1040" s="55">
        <v>44933</v>
      </c>
      <c r="AM1040" s="55">
        <v>2443</v>
      </c>
      <c r="AN1040" s="55">
        <v>15509100</v>
      </c>
      <c r="AO1040" s="55">
        <v>6596100</v>
      </c>
      <c r="AQ1040" s="55">
        <v>41787000885000</v>
      </c>
      <c r="AR1040" s="55">
        <v>268407302000</v>
      </c>
      <c r="AS1040" s="55">
        <v>139939457000</v>
      </c>
      <c r="AT1040" s="55">
        <v>438555137000</v>
      </c>
      <c r="AU1040" s="55">
        <f t="shared" si="780"/>
        <v>117210832</v>
      </c>
      <c r="AV1040" s="99">
        <f t="shared" si="781"/>
        <v>34429038224.395996</v>
      </c>
    </row>
    <row r="1041" spans="1:48">
      <c r="A1041" s="92">
        <v>45197</v>
      </c>
      <c r="B1041" s="55">
        <v>245914253000</v>
      </c>
      <c r="C1041" s="55">
        <v>16408930000</v>
      </c>
      <c r="D1041" s="55">
        <v>0</v>
      </c>
      <c r="E1041" s="55">
        <v>0</v>
      </c>
      <c r="F1041" s="55">
        <v>262323183000</v>
      </c>
      <c r="G1041" s="55">
        <v>70827259</v>
      </c>
      <c r="H1041" s="55">
        <v>246176000</v>
      </c>
      <c r="I1041" s="55">
        <v>0</v>
      </c>
      <c r="J1041" s="55">
        <v>246176000</v>
      </c>
      <c r="L1041" s="55">
        <v>13713735000</v>
      </c>
      <c r="M1041" s="55">
        <v>0</v>
      </c>
      <c r="N1041" s="55">
        <v>13713735000</v>
      </c>
      <c r="O1041" s="55">
        <v>8106707000</v>
      </c>
      <c r="P1041" s="55">
        <v>0</v>
      </c>
      <c r="Q1041" s="55">
        <v>8106707000</v>
      </c>
      <c r="R1041" s="55">
        <v>2320904000</v>
      </c>
      <c r="S1041" s="55">
        <v>0</v>
      </c>
      <c r="T1041" s="55">
        <v>2320904000</v>
      </c>
      <c r="U1041" s="55">
        <v>127120000</v>
      </c>
      <c r="V1041" s="55">
        <v>0</v>
      </c>
      <c r="W1041" s="55">
        <v>127120000</v>
      </c>
      <c r="X1041" s="55">
        <v>21962000</v>
      </c>
      <c r="Y1041" s="55">
        <v>0</v>
      </c>
      <c r="Z1041" s="55">
        <v>21962000</v>
      </c>
      <c r="AA1041" s="55">
        <v>131273000</v>
      </c>
      <c r="AB1041" s="55">
        <v>0</v>
      </c>
      <c r="AC1041" s="55">
        <v>131273000</v>
      </c>
      <c r="AD1041" s="55">
        <v>0</v>
      </c>
      <c r="AE1041" s="55">
        <v>0</v>
      </c>
      <c r="AF1041" s="55">
        <v>0</v>
      </c>
      <c r="AG1041" s="55">
        <v>0</v>
      </c>
      <c r="AH1041" s="55">
        <v>0</v>
      </c>
      <c r="AI1041" s="55">
        <v>0</v>
      </c>
      <c r="AJ1041" s="55">
        <v>2664131</v>
      </c>
      <c r="AK1041" s="55">
        <v>1688880</v>
      </c>
      <c r="AL1041" s="55">
        <v>44933</v>
      </c>
      <c r="AM1041" s="55">
        <v>2737</v>
      </c>
      <c r="AN1041" s="55">
        <v>12201750</v>
      </c>
      <c r="AO1041" s="55">
        <v>7389900</v>
      </c>
      <c r="AQ1041" s="55">
        <v>36901328587800</v>
      </c>
      <c r="AR1041" s="55">
        <v>143310188000</v>
      </c>
      <c r="AS1041" s="55">
        <v>35707877000</v>
      </c>
      <c r="AT1041" s="55">
        <v>303860985000</v>
      </c>
      <c r="AU1041" s="55">
        <f t="shared" si="780"/>
        <v>94771920</v>
      </c>
      <c r="AV1041" s="99">
        <f t="shared" si="781"/>
        <v>34523810144.395996</v>
      </c>
    </row>
    <row r="1042" spans="1:48">
      <c r="A1042" s="92">
        <v>45198</v>
      </c>
      <c r="B1042" s="55">
        <v>146149275000</v>
      </c>
      <c r="C1042" s="55">
        <v>16585210000</v>
      </c>
      <c r="D1042" s="55">
        <v>0</v>
      </c>
      <c r="E1042" s="55">
        <v>0</v>
      </c>
      <c r="F1042" s="55">
        <v>162734485000</v>
      </c>
      <c r="G1042" s="55">
        <v>43938311</v>
      </c>
      <c r="H1042" s="55">
        <v>146577000</v>
      </c>
      <c r="I1042" s="55">
        <v>0</v>
      </c>
      <c r="J1042" s="55">
        <v>146577000</v>
      </c>
      <c r="L1042" s="55">
        <v>24971843000</v>
      </c>
      <c r="M1042" s="55">
        <v>0</v>
      </c>
      <c r="N1042" s="55">
        <v>24971843000</v>
      </c>
      <c r="O1042" s="55">
        <v>4163967000</v>
      </c>
      <c r="P1042" s="55">
        <v>0</v>
      </c>
      <c r="Q1042" s="55">
        <v>4163967000</v>
      </c>
      <c r="R1042" s="55">
        <v>973767000</v>
      </c>
      <c r="S1042" s="55">
        <v>0</v>
      </c>
      <c r="T1042" s="55">
        <v>973767000</v>
      </c>
      <c r="U1042" s="55">
        <v>40591000</v>
      </c>
      <c r="V1042" s="55">
        <v>0</v>
      </c>
      <c r="W1042" s="55">
        <v>40591000</v>
      </c>
      <c r="X1042" s="55">
        <v>10762000</v>
      </c>
      <c r="Y1042" s="55">
        <v>0</v>
      </c>
      <c r="Z1042" s="55">
        <v>10762000</v>
      </c>
      <c r="AA1042" s="55">
        <v>41108000</v>
      </c>
      <c r="AB1042" s="55">
        <v>0</v>
      </c>
      <c r="AC1042" s="55">
        <v>41108000</v>
      </c>
      <c r="AD1042" s="55">
        <v>0</v>
      </c>
      <c r="AE1042" s="55">
        <v>0</v>
      </c>
      <c r="AF1042" s="55">
        <v>0</v>
      </c>
      <c r="AG1042" s="55">
        <v>0</v>
      </c>
      <c r="AH1042" s="55">
        <v>0</v>
      </c>
      <c r="AI1042" s="55">
        <v>0</v>
      </c>
      <c r="AJ1042" s="55">
        <v>3277650</v>
      </c>
      <c r="AK1042" s="55">
        <v>1268850</v>
      </c>
      <c r="AL1042" s="55">
        <v>44933</v>
      </c>
      <c r="AM1042" s="55">
        <v>1630</v>
      </c>
      <c r="AN1042" s="55">
        <v>30424050</v>
      </c>
      <c r="AO1042" s="55">
        <v>4401000</v>
      </c>
      <c r="AQ1042" s="55">
        <v>32614537298800</v>
      </c>
      <c r="AR1042" s="55">
        <v>211298058000</v>
      </c>
      <c r="AS1042" s="55">
        <v>72231515000</v>
      </c>
      <c r="AT1042" s="55">
        <v>234966000000</v>
      </c>
      <c r="AU1042" s="55">
        <f t="shared" si="780"/>
        <v>83309861</v>
      </c>
      <c r="AV1042" s="99">
        <f t="shared" si="781"/>
        <v>34607120005.395996</v>
      </c>
    </row>
    <row r="1043" spans="1:48">
      <c r="A1043" s="92">
        <v>45201</v>
      </c>
      <c r="B1043" s="55">
        <v>76269210000</v>
      </c>
      <c r="C1043" s="55">
        <v>17527420000</v>
      </c>
      <c r="D1043" s="55">
        <v>0</v>
      </c>
      <c r="E1043" s="55">
        <v>0</v>
      </c>
      <c r="F1043" s="55">
        <v>93796630000</v>
      </c>
      <c r="G1043" s="55">
        <v>25325090</v>
      </c>
      <c r="H1043" s="55">
        <v>493509000</v>
      </c>
      <c r="I1043" s="55">
        <v>2012900000</v>
      </c>
      <c r="J1043" s="55">
        <v>2506409000</v>
      </c>
      <c r="L1043" s="55">
        <v>10196750000</v>
      </c>
      <c r="M1043" s="55">
        <v>10626000000</v>
      </c>
      <c r="N1043" s="55">
        <v>20822750000</v>
      </c>
      <c r="O1043" s="55">
        <v>96832000</v>
      </c>
      <c r="P1043" s="55">
        <v>0</v>
      </c>
      <c r="Q1043" s="55">
        <v>96832000</v>
      </c>
      <c r="R1043" s="55">
        <v>1824669000</v>
      </c>
      <c r="S1043" s="55">
        <v>0</v>
      </c>
      <c r="T1043" s="55">
        <v>1824669000</v>
      </c>
      <c r="U1043" s="55">
        <v>421460000</v>
      </c>
      <c r="V1043" s="55">
        <v>0</v>
      </c>
      <c r="W1043" s="55">
        <v>421460000</v>
      </c>
      <c r="X1043" s="55">
        <v>83100000</v>
      </c>
      <c r="Y1043" s="55">
        <v>0</v>
      </c>
      <c r="Z1043" s="55">
        <v>83100000</v>
      </c>
      <c r="AA1043" s="55">
        <v>35262000</v>
      </c>
      <c r="AB1043" s="55">
        <v>0</v>
      </c>
      <c r="AC1043" s="55">
        <v>35262000</v>
      </c>
      <c r="AD1043" s="55">
        <v>0</v>
      </c>
      <c r="AE1043" s="55">
        <v>0</v>
      </c>
      <c r="AF1043" s="55">
        <v>0</v>
      </c>
      <c r="AG1043" s="55">
        <v>0</v>
      </c>
      <c r="AH1043" s="55">
        <v>0</v>
      </c>
      <c r="AI1043" s="55">
        <v>0</v>
      </c>
      <c r="AJ1043" s="55">
        <v>3695373</v>
      </c>
      <c r="AK1043" s="55">
        <v>576450</v>
      </c>
      <c r="AL1043" s="55">
        <v>44933</v>
      </c>
      <c r="AM1043" s="55">
        <v>769</v>
      </c>
      <c r="AN1043" s="55">
        <v>9858300</v>
      </c>
      <c r="AO1043" s="55">
        <v>2076300</v>
      </c>
      <c r="AQ1043" s="55">
        <v>27184493903600</v>
      </c>
      <c r="AR1043" s="55">
        <v>101724954000</v>
      </c>
      <c r="AS1043" s="55">
        <v>38894682000</v>
      </c>
      <c r="AT1043" s="55">
        <v>132691312000</v>
      </c>
      <c r="AU1043" s="55">
        <f t="shared" ref="AU1043:AU1066" si="782">G1043+AJ1043+AK1043+AN1043+AO1043+AP1043</f>
        <v>41531513</v>
      </c>
      <c r="AV1043" s="99">
        <f t="shared" ref="AV1043:AV1066" si="783">AV1042+AU1043</f>
        <v>34648651518.395996</v>
      </c>
    </row>
    <row r="1044" spans="1:48">
      <c r="A1044" s="92">
        <v>45202</v>
      </c>
      <c r="B1044" s="55">
        <v>244092067000</v>
      </c>
      <c r="C1044" s="55">
        <v>0</v>
      </c>
      <c r="D1044" s="55">
        <v>0</v>
      </c>
      <c r="E1044" s="55">
        <v>0</v>
      </c>
      <c r="F1044" s="55">
        <v>244092067000</v>
      </c>
      <c r="G1044" s="55">
        <v>65904858</v>
      </c>
      <c r="H1044" s="55">
        <v>8707746000</v>
      </c>
      <c r="I1044" s="55">
        <v>3946100000</v>
      </c>
      <c r="J1044" s="55">
        <v>12653846000</v>
      </c>
      <c r="L1044" s="55">
        <v>30135447000</v>
      </c>
      <c r="M1044" s="55">
        <v>2566500000</v>
      </c>
      <c r="N1044" s="55">
        <v>32701947000</v>
      </c>
      <c r="O1044" s="55">
        <v>9932070000</v>
      </c>
      <c r="P1044" s="55">
        <v>0</v>
      </c>
      <c r="Q1044" s="55">
        <v>9932070000</v>
      </c>
      <c r="R1044" s="55">
        <v>6310895000</v>
      </c>
      <c r="S1044" s="55">
        <v>0</v>
      </c>
      <c r="T1044" s="55">
        <v>6310895000</v>
      </c>
      <c r="U1044" s="55">
        <v>157512000</v>
      </c>
      <c r="V1044" s="55">
        <v>0</v>
      </c>
      <c r="W1044" s="55">
        <v>157512000</v>
      </c>
      <c r="X1044" s="55">
        <v>30810000</v>
      </c>
      <c r="Y1044" s="55">
        <v>0</v>
      </c>
      <c r="Z1044" s="55">
        <v>30810000</v>
      </c>
      <c r="AA1044" s="55">
        <v>486175000</v>
      </c>
      <c r="AB1044" s="55">
        <v>0</v>
      </c>
      <c r="AC1044" s="55">
        <v>486175000</v>
      </c>
      <c r="AD1044" s="55">
        <v>0</v>
      </c>
      <c r="AE1044" s="55">
        <v>0</v>
      </c>
      <c r="AF1044" s="55">
        <v>0</v>
      </c>
      <c r="AG1044" s="55">
        <v>0</v>
      </c>
      <c r="AH1044" s="55">
        <v>0</v>
      </c>
      <c r="AI1044" s="55">
        <v>0</v>
      </c>
      <c r="AJ1044" s="55">
        <v>7194419</v>
      </c>
      <c r="AK1044" s="55">
        <v>1200270</v>
      </c>
      <c r="AL1044" s="55">
        <v>44933</v>
      </c>
      <c r="AM1044" s="55">
        <v>2326</v>
      </c>
      <c r="AN1044" s="55">
        <v>10149000</v>
      </c>
      <c r="AO1044" s="55">
        <v>6280200</v>
      </c>
      <c r="AQ1044" s="55">
        <v>49490404795400</v>
      </c>
      <c r="AR1044" s="55">
        <v>185220850000</v>
      </c>
      <c r="AS1044" s="55">
        <v>69233155000</v>
      </c>
      <c r="AT1044" s="55">
        <v>313325222000</v>
      </c>
      <c r="AU1044" s="55">
        <f t="shared" si="782"/>
        <v>90728747</v>
      </c>
      <c r="AV1044" s="99">
        <f t="shared" si="783"/>
        <v>34739380265.395996</v>
      </c>
    </row>
    <row r="1045" spans="1:48">
      <c r="A1045" s="92">
        <v>45203</v>
      </c>
      <c r="B1045" s="55">
        <v>193141576000</v>
      </c>
      <c r="C1045" s="55">
        <v>0</v>
      </c>
      <c r="D1045" s="55">
        <v>0</v>
      </c>
      <c r="E1045" s="55">
        <v>0</v>
      </c>
      <c r="F1045" s="55">
        <v>193141576000</v>
      </c>
      <c r="G1045" s="55">
        <v>52148226</v>
      </c>
      <c r="H1045" s="55">
        <v>759458000</v>
      </c>
      <c r="I1045" s="55">
        <v>7808200000</v>
      </c>
      <c r="J1045" s="55">
        <v>8567658000</v>
      </c>
      <c r="L1045" s="55">
        <v>15272565000</v>
      </c>
      <c r="M1045" s="55">
        <v>7722000000</v>
      </c>
      <c r="N1045" s="55">
        <v>22994565000</v>
      </c>
      <c r="O1045" s="55">
        <v>5128958000</v>
      </c>
      <c r="P1045" s="55">
        <v>0</v>
      </c>
      <c r="Q1045" s="55">
        <v>5128958000</v>
      </c>
      <c r="R1045" s="55">
        <v>4373244000</v>
      </c>
      <c r="S1045" s="55">
        <v>0</v>
      </c>
      <c r="T1045" s="55">
        <v>4373244000</v>
      </c>
      <c r="U1045" s="55">
        <v>276379000</v>
      </c>
      <c r="V1045" s="55">
        <v>0</v>
      </c>
      <c r="W1045" s="55">
        <v>276379000</v>
      </c>
      <c r="X1045" s="55">
        <v>30413000</v>
      </c>
      <c r="Y1045" s="55">
        <v>0</v>
      </c>
      <c r="Z1045" s="55">
        <v>30413000</v>
      </c>
      <c r="AA1045" s="55">
        <v>1366244000</v>
      </c>
      <c r="AB1045" s="55">
        <v>12010000000</v>
      </c>
      <c r="AC1045" s="55">
        <v>13376244000</v>
      </c>
      <c r="AD1045" s="55">
        <v>1033000</v>
      </c>
      <c r="AE1045" s="55">
        <v>0</v>
      </c>
      <c r="AF1045" s="55">
        <v>1033000</v>
      </c>
      <c r="AG1045" s="55">
        <v>0</v>
      </c>
      <c r="AH1045" s="55">
        <v>0</v>
      </c>
      <c r="AI1045" s="55">
        <v>0</v>
      </c>
      <c r="AJ1045" s="55">
        <v>7895732</v>
      </c>
      <c r="AK1045" s="55">
        <v>1762050</v>
      </c>
      <c r="AL1045" s="55">
        <v>44933</v>
      </c>
      <c r="AM1045" s="55">
        <v>1945</v>
      </c>
      <c r="AN1045" s="55">
        <v>6754950</v>
      </c>
      <c r="AO1045" s="55">
        <v>5251500</v>
      </c>
      <c r="AQ1045" s="55">
        <v>34691253952800</v>
      </c>
      <c r="AR1045" s="55">
        <v>210450824000</v>
      </c>
      <c r="AS1045" s="55">
        <v>83719494000</v>
      </c>
      <c r="AT1045" s="55">
        <v>276861070000</v>
      </c>
      <c r="AU1045" s="55">
        <f t="shared" si="782"/>
        <v>73812458</v>
      </c>
      <c r="AV1045" s="99">
        <f t="shared" si="783"/>
        <v>34813192723.395996</v>
      </c>
    </row>
    <row r="1046" spans="1:48">
      <c r="A1046" s="92">
        <v>45204</v>
      </c>
      <c r="B1046" s="55">
        <v>125248467000</v>
      </c>
      <c r="C1046" s="55">
        <v>0</v>
      </c>
      <c r="D1046" s="55">
        <v>0</v>
      </c>
      <c r="E1046" s="55">
        <v>0</v>
      </c>
      <c r="F1046" s="55">
        <v>125248467000</v>
      </c>
      <c r="G1046" s="55">
        <v>33817086</v>
      </c>
      <c r="H1046" s="55">
        <v>9046728000</v>
      </c>
      <c r="I1046" s="55">
        <v>0</v>
      </c>
      <c r="J1046" s="55">
        <v>9046728000</v>
      </c>
      <c r="L1046" s="55">
        <v>19387741000</v>
      </c>
      <c r="M1046" s="55">
        <v>0</v>
      </c>
      <c r="N1046" s="55">
        <v>19387741000</v>
      </c>
      <c r="O1046" s="55">
        <v>2570589000</v>
      </c>
      <c r="P1046" s="55">
        <v>0</v>
      </c>
      <c r="Q1046" s="55">
        <v>2570589000</v>
      </c>
      <c r="R1046" s="55">
        <v>1367084000</v>
      </c>
      <c r="S1046" s="55">
        <v>0</v>
      </c>
      <c r="T1046" s="55">
        <v>1367084000</v>
      </c>
      <c r="U1046" s="55">
        <v>358006000</v>
      </c>
      <c r="V1046" s="55">
        <v>0</v>
      </c>
      <c r="W1046" s="55">
        <v>358006000</v>
      </c>
      <c r="X1046" s="55">
        <v>11903000</v>
      </c>
      <c r="Y1046" s="55">
        <v>0</v>
      </c>
      <c r="Z1046" s="55">
        <v>11903000</v>
      </c>
      <c r="AA1046" s="55">
        <v>2095777000</v>
      </c>
      <c r="AB1046" s="55">
        <v>0</v>
      </c>
      <c r="AC1046" s="55">
        <v>2095777000</v>
      </c>
      <c r="AD1046" s="55">
        <v>1027000</v>
      </c>
      <c r="AE1046" s="55">
        <v>0</v>
      </c>
      <c r="AF1046" s="55">
        <v>1027000</v>
      </c>
      <c r="AG1046" s="55">
        <v>0</v>
      </c>
      <c r="AH1046" s="55">
        <v>0</v>
      </c>
      <c r="AI1046" s="55">
        <v>0</v>
      </c>
      <c r="AJ1046" s="55">
        <v>3762596</v>
      </c>
      <c r="AK1046" s="55">
        <v>1341840</v>
      </c>
      <c r="AL1046" s="55">
        <v>44933</v>
      </c>
      <c r="AM1046" s="55">
        <v>1535</v>
      </c>
      <c r="AN1046" s="55">
        <v>4151400</v>
      </c>
      <c r="AO1046" s="55">
        <v>4144500</v>
      </c>
      <c r="AQ1046" s="55">
        <v>30565588189400</v>
      </c>
      <c r="AR1046" s="55">
        <v>157305838000</v>
      </c>
      <c r="AS1046" s="55">
        <v>77318655000</v>
      </c>
      <c r="AT1046" s="55">
        <v>208305307000</v>
      </c>
      <c r="AU1046" s="55">
        <f t="shared" si="782"/>
        <v>47217422</v>
      </c>
      <c r="AV1046" s="99">
        <f t="shared" si="783"/>
        <v>34860410145.395996</v>
      </c>
    </row>
    <row r="1047" spans="1:48">
      <c r="A1047" s="92">
        <v>45205</v>
      </c>
      <c r="B1047" s="55">
        <v>212379867000</v>
      </c>
      <c r="C1047" s="55">
        <v>1834455000</v>
      </c>
      <c r="D1047" s="55">
        <v>0</v>
      </c>
      <c r="E1047" s="55">
        <v>0</v>
      </c>
      <c r="F1047" s="55">
        <v>214214322000</v>
      </c>
      <c r="G1047" s="55">
        <v>57837867</v>
      </c>
      <c r="H1047" s="55">
        <v>1431341000</v>
      </c>
      <c r="I1047" s="55">
        <v>0</v>
      </c>
      <c r="J1047" s="55">
        <v>1431341000</v>
      </c>
      <c r="L1047" s="55">
        <v>20372088000</v>
      </c>
      <c r="M1047" s="55">
        <v>0</v>
      </c>
      <c r="N1047" s="55">
        <v>20372088000</v>
      </c>
      <c r="O1047" s="55">
        <v>1705186000</v>
      </c>
      <c r="P1047" s="55">
        <v>0</v>
      </c>
      <c r="Q1047" s="55">
        <v>1705186000</v>
      </c>
      <c r="R1047" s="55">
        <v>1147632000</v>
      </c>
      <c r="S1047" s="55">
        <v>0</v>
      </c>
      <c r="T1047" s="55">
        <v>1147632000</v>
      </c>
      <c r="U1047" s="55">
        <v>118413000</v>
      </c>
      <c r="V1047" s="55">
        <v>0</v>
      </c>
      <c r="W1047" s="55">
        <v>118413000</v>
      </c>
      <c r="X1047" s="55">
        <v>272224000</v>
      </c>
      <c r="Y1047" s="55">
        <v>0</v>
      </c>
      <c r="Z1047" s="55">
        <v>272224000</v>
      </c>
      <c r="AA1047" s="55">
        <v>1231204000</v>
      </c>
      <c r="AB1047" s="55">
        <v>0</v>
      </c>
      <c r="AC1047" s="55">
        <v>1231204000</v>
      </c>
      <c r="AD1047" s="55">
        <v>1011000</v>
      </c>
      <c r="AE1047" s="55">
        <v>0</v>
      </c>
      <c r="AF1047" s="55">
        <v>1011000</v>
      </c>
      <c r="AG1047" s="55">
        <v>0</v>
      </c>
      <c r="AH1047" s="55">
        <v>0</v>
      </c>
      <c r="AI1047" s="55">
        <v>0</v>
      </c>
      <c r="AJ1047" s="55">
        <v>2838143</v>
      </c>
      <c r="AK1047" s="55">
        <v>297480</v>
      </c>
      <c r="AL1047" s="55">
        <v>44933</v>
      </c>
      <c r="AM1047" s="55">
        <v>2186</v>
      </c>
      <c r="AN1047" s="55">
        <v>25688700</v>
      </c>
      <c r="AO1047" s="55">
        <v>5902200</v>
      </c>
      <c r="AQ1047" s="55">
        <v>29499080418000</v>
      </c>
      <c r="AR1047" s="55">
        <v>92604212000</v>
      </c>
      <c r="AS1047" s="55">
        <v>32430099000</v>
      </c>
      <c r="AT1047" s="55">
        <v>246644421000</v>
      </c>
      <c r="AU1047" s="55">
        <f t="shared" si="782"/>
        <v>92564390</v>
      </c>
      <c r="AV1047" s="99">
        <f t="shared" si="783"/>
        <v>34952974535.395996</v>
      </c>
    </row>
    <row r="1048" spans="1:48">
      <c r="A1048" s="92">
        <v>45208</v>
      </c>
      <c r="B1048" s="55">
        <v>111252087000</v>
      </c>
      <c r="C1048" s="55">
        <v>926630000</v>
      </c>
      <c r="D1048" s="55">
        <v>0</v>
      </c>
      <c r="E1048" s="55">
        <v>0</v>
      </c>
      <c r="F1048" s="55">
        <v>112178717000</v>
      </c>
      <c r="G1048" s="55">
        <v>30288254</v>
      </c>
      <c r="H1048" s="55">
        <v>2155521000</v>
      </c>
      <c r="I1048" s="55">
        <v>3933900000</v>
      </c>
      <c r="J1048" s="55">
        <v>6089421000</v>
      </c>
      <c r="L1048" s="55">
        <v>47520184000</v>
      </c>
      <c r="M1048" s="55">
        <v>0</v>
      </c>
      <c r="N1048" s="55">
        <v>47520184000</v>
      </c>
      <c r="O1048" s="55">
        <v>6717771000</v>
      </c>
      <c r="P1048" s="55">
        <v>0</v>
      </c>
      <c r="Q1048" s="55">
        <v>6717771000</v>
      </c>
      <c r="R1048" s="55">
        <v>2175340000</v>
      </c>
      <c r="S1048" s="55">
        <v>0</v>
      </c>
      <c r="T1048" s="55">
        <v>2175340000</v>
      </c>
      <c r="U1048" s="55">
        <v>53492000</v>
      </c>
      <c r="V1048" s="55">
        <v>0</v>
      </c>
      <c r="W1048" s="55">
        <v>53492000</v>
      </c>
      <c r="X1048" s="55">
        <v>11288000</v>
      </c>
      <c r="Y1048" s="55">
        <v>0</v>
      </c>
      <c r="Z1048" s="55">
        <v>11288000</v>
      </c>
      <c r="AA1048" s="55">
        <v>1180898000</v>
      </c>
      <c r="AB1048" s="55">
        <v>0</v>
      </c>
      <c r="AC1048" s="55">
        <v>1180898000</v>
      </c>
      <c r="AD1048" s="55">
        <v>0</v>
      </c>
      <c r="AE1048" s="55">
        <v>0</v>
      </c>
      <c r="AF1048" s="55">
        <v>0</v>
      </c>
      <c r="AG1048" s="55">
        <v>0</v>
      </c>
      <c r="AH1048" s="55">
        <v>0</v>
      </c>
      <c r="AI1048" s="55">
        <v>0</v>
      </c>
      <c r="AJ1048" s="55">
        <v>7168067</v>
      </c>
      <c r="AK1048" s="55">
        <v>1174260</v>
      </c>
      <c r="AL1048" s="55">
        <v>44933</v>
      </c>
      <c r="AM1048" s="55">
        <v>1463</v>
      </c>
      <c r="AN1048" s="55">
        <v>6678450</v>
      </c>
      <c r="AO1048" s="55">
        <v>3950100</v>
      </c>
      <c r="AQ1048" s="55">
        <v>31647140000000</v>
      </c>
      <c r="AR1048" s="55">
        <v>407935558000</v>
      </c>
      <c r="AS1048" s="55">
        <v>68698294000</v>
      </c>
      <c r="AT1048" s="55">
        <v>180877011000</v>
      </c>
      <c r="AU1048" s="55">
        <f t="shared" si="782"/>
        <v>49259131</v>
      </c>
      <c r="AV1048" s="99">
        <f t="shared" si="783"/>
        <v>35002233666.395996</v>
      </c>
    </row>
    <row r="1049" spans="1:48">
      <c r="A1049" s="92">
        <v>45209</v>
      </c>
      <c r="B1049" s="55">
        <v>163269876000</v>
      </c>
      <c r="C1049" s="55">
        <v>0</v>
      </c>
      <c r="D1049" s="55">
        <v>0</v>
      </c>
      <c r="E1049" s="55">
        <v>2233810000</v>
      </c>
      <c r="F1049" s="55">
        <v>165503686000</v>
      </c>
      <c r="G1049" s="55">
        <v>44685995</v>
      </c>
      <c r="H1049" s="55">
        <v>59828000</v>
      </c>
      <c r="I1049" s="55">
        <v>799040000</v>
      </c>
      <c r="J1049" s="55">
        <v>858868000</v>
      </c>
      <c r="L1049" s="55">
        <v>47258698000</v>
      </c>
      <c r="M1049" s="55">
        <v>1582020000</v>
      </c>
      <c r="N1049" s="55">
        <v>48840718000</v>
      </c>
      <c r="O1049" s="55">
        <v>224208000</v>
      </c>
      <c r="P1049" s="55">
        <v>0</v>
      </c>
      <c r="Q1049" s="55">
        <v>224208000</v>
      </c>
      <c r="R1049" s="55">
        <v>864107000</v>
      </c>
      <c r="S1049" s="55">
        <v>0</v>
      </c>
      <c r="T1049" s="55">
        <v>864107000</v>
      </c>
      <c r="U1049" s="55">
        <v>103296000</v>
      </c>
      <c r="V1049" s="55">
        <v>0</v>
      </c>
      <c r="W1049" s="55">
        <v>103296000</v>
      </c>
      <c r="X1049" s="55">
        <v>19851000</v>
      </c>
      <c r="Y1049" s="55">
        <v>0</v>
      </c>
      <c r="Z1049" s="55">
        <v>19851000</v>
      </c>
      <c r="AA1049" s="55">
        <v>2276896000</v>
      </c>
      <c r="AB1049" s="55">
        <v>0</v>
      </c>
      <c r="AC1049" s="55">
        <v>2276896000</v>
      </c>
      <c r="AD1049" s="55">
        <v>2100000</v>
      </c>
      <c r="AE1049" s="55">
        <v>0</v>
      </c>
      <c r="AF1049" s="55">
        <v>2100000</v>
      </c>
      <c r="AG1049" s="55">
        <v>0</v>
      </c>
      <c r="AH1049" s="55">
        <v>0</v>
      </c>
      <c r="AI1049" s="55">
        <v>0</v>
      </c>
      <c r="AJ1049" s="55">
        <v>5915961</v>
      </c>
      <c r="AK1049" s="55">
        <v>1065750</v>
      </c>
      <c r="AL1049" s="55">
        <v>44933</v>
      </c>
      <c r="AM1049" s="55">
        <v>2133</v>
      </c>
      <c r="AN1049" s="55">
        <v>5406000</v>
      </c>
      <c r="AO1049" s="55">
        <v>5759100</v>
      </c>
      <c r="AQ1049" s="55">
        <v>35690432375200</v>
      </c>
      <c r="AR1049" s="55">
        <v>171743686000</v>
      </c>
      <c r="AS1049" s="55">
        <v>58098604000</v>
      </c>
      <c r="AT1049" s="55">
        <v>223602290000</v>
      </c>
      <c r="AU1049" s="55">
        <f t="shared" si="782"/>
        <v>62832806</v>
      </c>
      <c r="AV1049" s="99">
        <f t="shared" si="783"/>
        <v>35065066472.395996</v>
      </c>
    </row>
    <row r="1050" spans="1:48">
      <c r="A1050" s="92">
        <v>45210</v>
      </c>
      <c r="B1050" s="55">
        <v>158915976000</v>
      </c>
      <c r="C1050" s="55">
        <v>0</v>
      </c>
      <c r="D1050" s="55">
        <v>0</v>
      </c>
      <c r="E1050" s="55">
        <v>0</v>
      </c>
      <c r="F1050" s="55">
        <v>158915976000</v>
      </c>
      <c r="G1050" s="55">
        <v>42907314</v>
      </c>
      <c r="H1050" s="55">
        <v>7123503000</v>
      </c>
      <c r="I1050" s="55">
        <v>2808960000</v>
      </c>
      <c r="J1050" s="55">
        <v>9932463000</v>
      </c>
      <c r="L1050" s="55">
        <v>30332144000</v>
      </c>
      <c r="M1050" s="55">
        <v>10542000000</v>
      </c>
      <c r="N1050" s="55">
        <v>40874144000</v>
      </c>
      <c r="O1050" s="55">
        <v>14940000</v>
      </c>
      <c r="P1050" s="55">
        <v>0</v>
      </c>
      <c r="Q1050" s="55">
        <v>14940000</v>
      </c>
      <c r="R1050" s="55">
        <v>1202802000</v>
      </c>
      <c r="S1050" s="55">
        <v>0</v>
      </c>
      <c r="T1050" s="55">
        <v>1202802000</v>
      </c>
      <c r="U1050" s="55">
        <v>105947000</v>
      </c>
      <c r="V1050" s="55">
        <v>0</v>
      </c>
      <c r="W1050" s="55">
        <v>105947000</v>
      </c>
      <c r="X1050" s="55">
        <v>38860000</v>
      </c>
      <c r="Y1050" s="55">
        <v>0</v>
      </c>
      <c r="Z1050" s="55">
        <v>38860000</v>
      </c>
      <c r="AA1050" s="55">
        <v>2207527000</v>
      </c>
      <c r="AB1050" s="55">
        <v>0</v>
      </c>
      <c r="AC1050" s="55">
        <v>2207527000</v>
      </c>
      <c r="AD1050" s="55">
        <v>1052000</v>
      </c>
      <c r="AE1050" s="55">
        <v>0</v>
      </c>
      <c r="AF1050" s="55">
        <v>1052000</v>
      </c>
      <c r="AG1050" s="55">
        <v>0</v>
      </c>
      <c r="AH1050" s="55">
        <v>0</v>
      </c>
      <c r="AI1050" s="55">
        <v>0</v>
      </c>
      <c r="AJ1050" s="55">
        <v>6834065</v>
      </c>
      <c r="AK1050" s="55">
        <v>648840</v>
      </c>
      <c r="AL1050" s="55">
        <v>44933</v>
      </c>
      <c r="AM1050" s="55">
        <v>1896</v>
      </c>
      <c r="AN1050" s="55">
        <v>6910500</v>
      </c>
      <c r="AO1050" s="55">
        <v>5119200</v>
      </c>
      <c r="AQ1050" s="55">
        <v>29388041751400</v>
      </c>
      <c r="AR1050" s="55">
        <v>161429098000</v>
      </c>
      <c r="AS1050" s="55">
        <v>70241995000</v>
      </c>
      <c r="AT1050" s="55">
        <v>229157971000</v>
      </c>
      <c r="AU1050" s="55">
        <f t="shared" si="782"/>
        <v>62419919</v>
      </c>
      <c r="AV1050" s="99">
        <f t="shared" si="783"/>
        <v>35127486391.395996</v>
      </c>
    </row>
    <row r="1051" spans="1:48">
      <c r="A1051" s="92">
        <v>45211</v>
      </c>
      <c r="B1051" s="55">
        <v>144833063000</v>
      </c>
      <c r="C1051" s="55">
        <v>0</v>
      </c>
      <c r="D1051" s="55">
        <v>0</v>
      </c>
      <c r="E1051" s="55">
        <v>0</v>
      </c>
      <c r="F1051" s="55">
        <v>144833063000</v>
      </c>
      <c r="G1051" s="55">
        <v>39104927</v>
      </c>
      <c r="H1051" s="55">
        <v>6981235000</v>
      </c>
      <c r="I1051" s="55">
        <v>0</v>
      </c>
      <c r="J1051" s="55">
        <v>6981235000</v>
      </c>
      <c r="L1051" s="55">
        <v>30977425000</v>
      </c>
      <c r="M1051" s="55">
        <v>0</v>
      </c>
      <c r="N1051" s="55">
        <v>30977425000</v>
      </c>
      <c r="O1051" s="55">
        <v>6446780000</v>
      </c>
      <c r="P1051" s="55">
        <v>0</v>
      </c>
      <c r="Q1051" s="55">
        <v>6446780000</v>
      </c>
      <c r="R1051" s="55">
        <v>1252392000</v>
      </c>
      <c r="S1051" s="55">
        <v>0</v>
      </c>
      <c r="T1051" s="55">
        <v>1252392000</v>
      </c>
      <c r="U1051" s="55">
        <v>43090000</v>
      </c>
      <c r="V1051" s="55">
        <v>0</v>
      </c>
      <c r="W1051" s="55">
        <v>43090000</v>
      </c>
      <c r="X1051" s="55">
        <v>9230000</v>
      </c>
      <c r="Y1051" s="55">
        <v>0</v>
      </c>
      <c r="Z1051" s="55">
        <v>9230000</v>
      </c>
      <c r="AA1051" s="55">
        <v>2165885000</v>
      </c>
      <c r="AB1051" s="55">
        <v>0</v>
      </c>
      <c r="AC1051" s="55">
        <v>2165885000</v>
      </c>
      <c r="AD1051" s="55">
        <v>0</v>
      </c>
      <c r="AE1051" s="55">
        <v>0</v>
      </c>
      <c r="AF1051" s="55">
        <v>0</v>
      </c>
      <c r="AG1051" s="55">
        <v>0</v>
      </c>
      <c r="AH1051" s="55">
        <v>0</v>
      </c>
      <c r="AI1051" s="55">
        <v>0</v>
      </c>
      <c r="AJ1051" s="55">
        <v>5170612</v>
      </c>
      <c r="AK1051" s="55">
        <v>1523130</v>
      </c>
      <c r="AL1051" s="55">
        <v>44933</v>
      </c>
      <c r="AM1051" s="55">
        <v>2021</v>
      </c>
      <c r="AN1051" s="55">
        <v>4220250</v>
      </c>
      <c r="AO1051" s="55">
        <v>5456700</v>
      </c>
      <c r="AQ1051" s="55">
        <v>34078136046400</v>
      </c>
      <c r="AR1051" s="55">
        <v>195396500000</v>
      </c>
      <c r="AS1051" s="55">
        <v>92241683000</v>
      </c>
      <c r="AT1051" s="55">
        <v>237296206000</v>
      </c>
      <c r="AU1051" s="55">
        <f t="shared" si="782"/>
        <v>55475619</v>
      </c>
      <c r="AV1051" s="99">
        <f t="shared" si="783"/>
        <v>35182962010.395996</v>
      </c>
    </row>
    <row r="1052" spans="1:48">
      <c r="A1052" s="92">
        <v>45212</v>
      </c>
      <c r="B1052" s="55">
        <v>120082937000</v>
      </c>
      <c r="C1052" s="55">
        <v>0</v>
      </c>
      <c r="D1052" s="55">
        <v>0</v>
      </c>
      <c r="E1052" s="55">
        <v>0</v>
      </c>
      <c r="F1052" s="55">
        <v>120082937000</v>
      </c>
      <c r="G1052" s="55">
        <v>32422393</v>
      </c>
      <c r="H1052" s="55">
        <v>22337208000</v>
      </c>
      <c r="I1052" s="55">
        <v>0</v>
      </c>
      <c r="J1052" s="55">
        <v>22337208000</v>
      </c>
      <c r="L1052" s="55">
        <v>52032157000</v>
      </c>
      <c r="M1052" s="55">
        <v>0</v>
      </c>
      <c r="N1052" s="55">
        <v>52032157000</v>
      </c>
      <c r="O1052" s="55">
        <v>997481000</v>
      </c>
      <c r="P1052" s="55">
        <v>0</v>
      </c>
      <c r="Q1052" s="55">
        <v>997481000</v>
      </c>
      <c r="R1052" s="55">
        <v>1425103000</v>
      </c>
      <c r="S1052" s="55">
        <v>0</v>
      </c>
      <c r="T1052" s="55">
        <v>1425103000</v>
      </c>
      <c r="U1052" s="55">
        <v>62686000</v>
      </c>
      <c r="V1052" s="55">
        <v>0</v>
      </c>
      <c r="W1052" s="55">
        <v>62686000</v>
      </c>
      <c r="X1052" s="55">
        <v>13678000</v>
      </c>
      <c r="Y1052" s="55">
        <v>0</v>
      </c>
      <c r="Z1052" s="55">
        <v>13678000</v>
      </c>
      <c r="AA1052" s="55">
        <v>2575241000</v>
      </c>
      <c r="AB1052" s="55">
        <v>0</v>
      </c>
      <c r="AC1052" s="55">
        <v>2575241000</v>
      </c>
      <c r="AD1052" s="55">
        <v>2100000</v>
      </c>
      <c r="AE1052" s="55">
        <v>0</v>
      </c>
      <c r="AF1052" s="55">
        <v>2100000</v>
      </c>
      <c r="AG1052" s="55">
        <v>0</v>
      </c>
      <c r="AH1052" s="55">
        <v>0</v>
      </c>
      <c r="AI1052" s="55">
        <v>0</v>
      </c>
      <c r="AJ1052" s="55">
        <v>8580131</v>
      </c>
      <c r="AK1052" s="55">
        <v>1495410</v>
      </c>
      <c r="AL1052" s="55">
        <v>44933</v>
      </c>
      <c r="AM1052" s="55">
        <v>1960</v>
      </c>
      <c r="AN1052" s="55">
        <v>11084850</v>
      </c>
      <c r="AO1052" s="55">
        <v>5292000</v>
      </c>
      <c r="AQ1052" s="55">
        <v>33048659400600</v>
      </c>
      <c r="AR1052" s="55">
        <v>319572364000</v>
      </c>
      <c r="AS1052" s="55">
        <v>129743054000</v>
      </c>
      <c r="AT1052" s="55">
        <v>249825991000</v>
      </c>
      <c r="AU1052" s="55">
        <f t="shared" si="782"/>
        <v>58874784</v>
      </c>
      <c r="AV1052" s="99">
        <f t="shared" si="783"/>
        <v>35241836794.395996</v>
      </c>
    </row>
    <row r="1053" spans="1:48">
      <c r="A1053" s="92">
        <v>45215</v>
      </c>
      <c r="B1053" s="55">
        <v>30177742000</v>
      </c>
      <c r="C1053" s="55">
        <v>1874205000</v>
      </c>
      <c r="D1053" s="55">
        <v>0</v>
      </c>
      <c r="E1053" s="55">
        <v>0</v>
      </c>
      <c r="F1053" s="55">
        <v>32051947000</v>
      </c>
      <c r="G1053" s="55">
        <v>8654026</v>
      </c>
      <c r="H1053" s="55">
        <v>5272308000</v>
      </c>
      <c r="I1053" s="55">
        <v>38175280000</v>
      </c>
      <c r="J1053" s="55">
        <v>43447588000</v>
      </c>
      <c r="L1053" s="55">
        <v>49645833000</v>
      </c>
      <c r="M1053" s="55">
        <v>7910860000</v>
      </c>
      <c r="N1053" s="55">
        <v>57556693000</v>
      </c>
      <c r="O1053" s="55">
        <v>114964000</v>
      </c>
      <c r="P1053" s="55">
        <v>0</v>
      </c>
      <c r="Q1053" s="55">
        <v>114964000</v>
      </c>
      <c r="R1053" s="55">
        <v>1244006000</v>
      </c>
      <c r="S1053" s="55">
        <v>0</v>
      </c>
      <c r="T1053" s="55">
        <v>1244006000</v>
      </c>
      <c r="U1053" s="55">
        <v>153219000</v>
      </c>
      <c r="V1053" s="55">
        <v>0</v>
      </c>
      <c r="W1053" s="55">
        <v>153219000</v>
      </c>
      <c r="X1053" s="55">
        <v>12940000</v>
      </c>
      <c r="Y1053" s="55">
        <v>0</v>
      </c>
      <c r="Z1053" s="55">
        <v>12940000</v>
      </c>
      <c r="AA1053" s="55">
        <v>22763000</v>
      </c>
      <c r="AB1053" s="55">
        <v>0</v>
      </c>
      <c r="AC1053" s="55">
        <v>22763000</v>
      </c>
      <c r="AD1053" s="55">
        <v>0</v>
      </c>
      <c r="AE1053" s="55">
        <v>0</v>
      </c>
      <c r="AF1053" s="55">
        <v>0</v>
      </c>
      <c r="AG1053" s="55">
        <v>0</v>
      </c>
      <c r="AH1053" s="55">
        <v>0</v>
      </c>
      <c r="AI1053" s="55">
        <v>0</v>
      </c>
      <c r="AJ1053" s="55">
        <v>14393837</v>
      </c>
      <c r="AK1053" s="55">
        <v>636090</v>
      </c>
      <c r="AL1053" s="55">
        <v>44933</v>
      </c>
      <c r="AM1053" s="55">
        <v>962</v>
      </c>
      <c r="AN1053" s="55">
        <v>4735350</v>
      </c>
      <c r="AO1053" s="55">
        <v>2597400</v>
      </c>
      <c r="AQ1053" s="55">
        <v>36312087993000</v>
      </c>
      <c r="AR1053" s="55">
        <v>340307908000</v>
      </c>
      <c r="AS1053" s="55">
        <v>149098513000</v>
      </c>
      <c r="AT1053" s="55">
        <v>181150460000</v>
      </c>
      <c r="AU1053" s="55">
        <f t="shared" si="782"/>
        <v>31016703</v>
      </c>
      <c r="AV1053" s="99">
        <f t="shared" si="783"/>
        <v>35272853497.395996</v>
      </c>
    </row>
    <row r="1054" spans="1:48">
      <c r="A1054" s="92">
        <v>45216</v>
      </c>
      <c r="B1054" s="55">
        <v>66213167000</v>
      </c>
      <c r="C1054" s="55">
        <v>0</v>
      </c>
      <c r="D1054" s="55">
        <v>0</v>
      </c>
      <c r="E1054" s="55">
        <v>0</v>
      </c>
      <c r="F1054" s="55">
        <v>66213167000</v>
      </c>
      <c r="G1054" s="55">
        <v>17877555</v>
      </c>
      <c r="H1054" s="55">
        <v>4146851000</v>
      </c>
      <c r="I1054" s="55">
        <v>0</v>
      </c>
      <c r="J1054" s="55">
        <v>4146851000</v>
      </c>
      <c r="L1054" s="55">
        <v>8540083000</v>
      </c>
      <c r="M1054" s="55">
        <v>1839950000</v>
      </c>
      <c r="N1054" s="55">
        <v>10380033000</v>
      </c>
      <c r="O1054" s="55">
        <v>38986000</v>
      </c>
      <c r="P1054" s="55">
        <v>0</v>
      </c>
      <c r="Q1054" s="55">
        <v>38986000</v>
      </c>
      <c r="R1054" s="55">
        <v>1207411000</v>
      </c>
      <c r="S1054" s="55">
        <v>0</v>
      </c>
      <c r="T1054" s="55">
        <v>1207411000</v>
      </c>
      <c r="U1054" s="55">
        <v>136820000</v>
      </c>
      <c r="V1054" s="55">
        <v>0</v>
      </c>
      <c r="W1054" s="55">
        <v>136820000</v>
      </c>
      <c r="X1054" s="55">
        <v>8426000</v>
      </c>
      <c r="Y1054" s="55">
        <v>0</v>
      </c>
      <c r="Z1054" s="55">
        <v>8426000</v>
      </c>
      <c r="AA1054" s="55">
        <v>1953804000</v>
      </c>
      <c r="AB1054" s="55">
        <v>992000000</v>
      </c>
      <c r="AC1054" s="55">
        <v>2945804000</v>
      </c>
      <c r="AD1054" s="55">
        <v>4188000</v>
      </c>
      <c r="AE1054" s="55">
        <v>0</v>
      </c>
      <c r="AF1054" s="55">
        <v>4188000</v>
      </c>
      <c r="AG1054" s="55">
        <v>0</v>
      </c>
      <c r="AH1054" s="55">
        <v>0</v>
      </c>
      <c r="AI1054" s="55">
        <v>0</v>
      </c>
      <c r="AJ1054" s="55">
        <v>2241700</v>
      </c>
      <c r="AK1054" s="55">
        <v>143820</v>
      </c>
      <c r="AL1054" s="55">
        <v>44933</v>
      </c>
      <c r="AM1054" s="55">
        <v>1201</v>
      </c>
      <c r="AN1054" s="55">
        <v>3952500</v>
      </c>
      <c r="AO1054" s="55">
        <v>3242700</v>
      </c>
      <c r="AQ1054" s="55">
        <v>32631820316200</v>
      </c>
      <c r="AR1054" s="55">
        <v>89905074000</v>
      </c>
      <c r="AS1054" s="55">
        <v>24203069000</v>
      </c>
      <c r="AT1054" s="55">
        <v>90416236000</v>
      </c>
      <c r="AU1054" s="55">
        <f t="shared" si="782"/>
        <v>27458275</v>
      </c>
      <c r="AV1054" s="99">
        <f t="shared" si="783"/>
        <v>35300311772.395996</v>
      </c>
    </row>
    <row r="1055" spans="1:48">
      <c r="A1055" s="92">
        <v>45217</v>
      </c>
      <c r="B1055" s="55">
        <v>219863040000</v>
      </c>
      <c r="C1055" s="55">
        <v>0</v>
      </c>
      <c r="D1055" s="55">
        <v>0</v>
      </c>
      <c r="E1055" s="55">
        <v>0</v>
      </c>
      <c r="F1055" s="55">
        <v>219863040000</v>
      </c>
      <c r="G1055" s="55">
        <v>59363021</v>
      </c>
      <c r="H1055" s="55">
        <v>5703071000</v>
      </c>
      <c r="I1055" s="55">
        <v>34658200000</v>
      </c>
      <c r="J1055" s="55">
        <v>40361271000</v>
      </c>
      <c r="L1055" s="55">
        <v>23450855000</v>
      </c>
      <c r="M1055" s="55">
        <v>10271000000</v>
      </c>
      <c r="N1055" s="55">
        <v>33721855000</v>
      </c>
      <c r="O1055" s="55">
        <v>6440933000</v>
      </c>
      <c r="P1055" s="55">
        <v>0</v>
      </c>
      <c r="Q1055" s="55">
        <v>6440933000</v>
      </c>
      <c r="R1055" s="55">
        <v>2401181000</v>
      </c>
      <c r="S1055" s="55">
        <v>0</v>
      </c>
      <c r="T1055" s="55">
        <v>2401181000</v>
      </c>
      <c r="U1055" s="55">
        <v>164941000</v>
      </c>
      <c r="V1055" s="55">
        <v>0</v>
      </c>
      <c r="W1055" s="55">
        <v>164941000</v>
      </c>
      <c r="X1055" s="55">
        <v>88123000</v>
      </c>
      <c r="Y1055" s="55">
        <v>0</v>
      </c>
      <c r="Z1055" s="55">
        <v>88123000</v>
      </c>
      <c r="AA1055" s="55">
        <v>5273389000</v>
      </c>
      <c r="AB1055" s="55">
        <v>0</v>
      </c>
      <c r="AC1055" s="55">
        <v>5273389000</v>
      </c>
      <c r="AD1055" s="55">
        <v>2064000</v>
      </c>
      <c r="AE1055" s="55">
        <v>0</v>
      </c>
      <c r="AF1055" s="55">
        <v>2064000</v>
      </c>
      <c r="AG1055" s="55">
        <v>0</v>
      </c>
      <c r="AH1055" s="55">
        <v>0</v>
      </c>
      <c r="AI1055" s="55">
        <v>0</v>
      </c>
      <c r="AJ1055" s="55">
        <v>12787908</v>
      </c>
      <c r="AK1055" s="55">
        <v>811020</v>
      </c>
      <c r="AL1055" s="55">
        <v>44933</v>
      </c>
      <c r="AM1055" s="55">
        <v>2205</v>
      </c>
      <c r="AN1055" s="55">
        <v>5122950</v>
      </c>
      <c r="AO1055" s="55">
        <v>5953500</v>
      </c>
      <c r="AQ1055" s="55">
        <v>50588867923400</v>
      </c>
      <c r="AR1055" s="55">
        <v>212443658000</v>
      </c>
      <c r="AS1055" s="55">
        <v>137757357000</v>
      </c>
      <c r="AT1055" s="55">
        <v>357620397000</v>
      </c>
      <c r="AU1055" s="55">
        <f t="shared" si="782"/>
        <v>84038399</v>
      </c>
      <c r="AV1055" s="99">
        <f t="shared" si="783"/>
        <v>35384350171.395996</v>
      </c>
    </row>
    <row r="1056" spans="1:48">
      <c r="A1056" s="92">
        <v>45218</v>
      </c>
      <c r="B1056" s="55">
        <v>224631994000</v>
      </c>
      <c r="C1056" s="55">
        <v>0</v>
      </c>
      <c r="D1056" s="55">
        <v>0</v>
      </c>
      <c r="E1056" s="55">
        <v>0</v>
      </c>
      <c r="F1056" s="55">
        <v>224631994000</v>
      </c>
      <c r="G1056" s="55">
        <v>60650638</v>
      </c>
      <c r="H1056" s="55">
        <v>13177801000</v>
      </c>
      <c r="I1056" s="55">
        <v>0</v>
      </c>
      <c r="J1056" s="55">
        <v>13177801000</v>
      </c>
      <c r="L1056" s="55">
        <v>14650483000</v>
      </c>
      <c r="M1056" s="55">
        <v>0</v>
      </c>
      <c r="N1056" s="55">
        <v>14650483000</v>
      </c>
      <c r="O1056" s="55">
        <v>3263601000</v>
      </c>
      <c r="P1056" s="55">
        <v>0</v>
      </c>
      <c r="Q1056" s="55">
        <v>3263601000</v>
      </c>
      <c r="R1056" s="55">
        <v>3591041000</v>
      </c>
      <c r="S1056" s="55">
        <v>0</v>
      </c>
      <c r="T1056" s="55">
        <v>3591041000</v>
      </c>
      <c r="U1056" s="55">
        <v>48411000</v>
      </c>
      <c r="V1056" s="55">
        <v>0</v>
      </c>
      <c r="W1056" s="55">
        <v>48411000</v>
      </c>
      <c r="X1056" s="55">
        <v>24334000</v>
      </c>
      <c r="Y1056" s="55">
        <v>0</v>
      </c>
      <c r="Z1056" s="55">
        <v>24334000</v>
      </c>
      <c r="AA1056" s="55">
        <v>3326491000</v>
      </c>
      <c r="AB1056" s="55">
        <v>0</v>
      </c>
      <c r="AC1056" s="55">
        <v>3326491000</v>
      </c>
      <c r="AD1056" s="55">
        <v>0</v>
      </c>
      <c r="AE1056" s="55">
        <v>0</v>
      </c>
      <c r="AF1056" s="55">
        <v>0</v>
      </c>
      <c r="AG1056" s="55">
        <v>0</v>
      </c>
      <c r="AH1056" s="55">
        <v>0</v>
      </c>
      <c r="AI1056" s="55">
        <v>0</v>
      </c>
      <c r="AJ1056" s="55">
        <v>4112873</v>
      </c>
      <c r="AK1056" s="55">
        <v>959160</v>
      </c>
      <c r="AL1056" s="55">
        <v>44933</v>
      </c>
      <c r="AM1056" s="55">
        <v>2635</v>
      </c>
      <c r="AN1056" s="55">
        <v>8078400</v>
      </c>
      <c r="AO1056" s="55">
        <v>7114500</v>
      </c>
      <c r="AQ1056" s="55">
        <v>31808045579600</v>
      </c>
      <c r="AR1056" s="55">
        <v>225218496000</v>
      </c>
      <c r="AS1056" s="55">
        <v>86247078000</v>
      </c>
      <c r="AT1056" s="55">
        <v>310879072000</v>
      </c>
      <c r="AU1056" s="55">
        <f t="shared" si="782"/>
        <v>80915571</v>
      </c>
      <c r="AV1056" s="99">
        <f t="shared" si="783"/>
        <v>35465265742.395996</v>
      </c>
    </row>
    <row r="1057" spans="1:48">
      <c r="A1057" s="92">
        <v>45219</v>
      </c>
      <c r="B1057" s="55">
        <v>211264423000</v>
      </c>
      <c r="C1057" s="55">
        <v>0</v>
      </c>
      <c r="D1057" s="55">
        <v>0</v>
      </c>
      <c r="E1057" s="55">
        <v>0</v>
      </c>
      <c r="F1057" s="55">
        <v>211264423000</v>
      </c>
      <c r="G1057" s="55">
        <v>57041394</v>
      </c>
      <c r="H1057" s="55">
        <v>2789120000</v>
      </c>
      <c r="I1057" s="55">
        <v>0</v>
      </c>
      <c r="J1057" s="55">
        <v>2789120000</v>
      </c>
      <c r="L1057" s="55">
        <v>8387117000</v>
      </c>
      <c r="M1057" s="55">
        <v>0</v>
      </c>
      <c r="N1057" s="55">
        <v>8387117000</v>
      </c>
      <c r="O1057" s="55">
        <v>1564462000</v>
      </c>
      <c r="P1057" s="55">
        <v>0</v>
      </c>
      <c r="Q1057" s="55">
        <v>1564462000</v>
      </c>
      <c r="R1057" s="55">
        <v>3151756000</v>
      </c>
      <c r="S1057" s="55">
        <v>0</v>
      </c>
      <c r="T1057" s="55">
        <v>3151756000</v>
      </c>
      <c r="U1057" s="55">
        <v>235555000</v>
      </c>
      <c r="V1057" s="55">
        <v>0</v>
      </c>
      <c r="W1057" s="55">
        <v>235555000</v>
      </c>
      <c r="X1057" s="55">
        <v>316065000</v>
      </c>
      <c r="Y1057" s="55">
        <v>0</v>
      </c>
      <c r="Z1057" s="55">
        <v>316065000</v>
      </c>
      <c r="AA1057" s="55">
        <v>43290000</v>
      </c>
      <c r="AB1057" s="55">
        <v>0</v>
      </c>
      <c r="AC1057" s="55">
        <v>43290000</v>
      </c>
      <c r="AD1057" s="55">
        <v>51572000</v>
      </c>
      <c r="AE1057" s="55">
        <v>0</v>
      </c>
      <c r="AF1057" s="55">
        <v>51572000</v>
      </c>
      <c r="AG1057" s="55">
        <v>0</v>
      </c>
      <c r="AH1057" s="55">
        <v>0</v>
      </c>
      <c r="AI1057" s="55">
        <v>0</v>
      </c>
      <c r="AJ1057" s="55">
        <v>1786205</v>
      </c>
      <c r="AK1057" s="55">
        <v>589200</v>
      </c>
      <c r="AL1057" s="55">
        <v>44933</v>
      </c>
      <c r="AM1057" s="55">
        <v>2111</v>
      </c>
      <c r="AN1057" s="55">
        <v>30867750</v>
      </c>
      <c r="AO1057" s="55">
        <v>5699700</v>
      </c>
      <c r="AQ1057" s="55">
        <v>33177229102200</v>
      </c>
      <c r="AR1057" s="55">
        <v>416118622000</v>
      </c>
      <c r="AS1057" s="55">
        <v>56154857000</v>
      </c>
      <c r="AT1057" s="55">
        <v>267733270000</v>
      </c>
      <c r="AU1057" s="55">
        <f t="shared" si="782"/>
        <v>95984249</v>
      </c>
      <c r="AV1057" s="99">
        <f t="shared" si="783"/>
        <v>35561249991.395996</v>
      </c>
    </row>
    <row r="1058" spans="1:48">
      <c r="A1058" s="92">
        <v>45222</v>
      </c>
      <c r="B1058" s="55">
        <v>263545333000</v>
      </c>
      <c r="C1058" s="55">
        <v>18650820000</v>
      </c>
      <c r="D1058" s="55">
        <v>0</v>
      </c>
      <c r="E1058" s="55">
        <v>0</v>
      </c>
      <c r="F1058" s="55">
        <v>282196153000</v>
      </c>
      <c r="G1058" s="55">
        <v>76192961</v>
      </c>
      <c r="H1058" s="55">
        <v>7077691000</v>
      </c>
      <c r="I1058" s="55">
        <v>3787000000</v>
      </c>
      <c r="J1058" s="55">
        <v>10864691000</v>
      </c>
      <c r="L1058" s="55">
        <v>9419810000</v>
      </c>
      <c r="M1058" s="55">
        <v>0</v>
      </c>
      <c r="N1058" s="55">
        <v>9419810000</v>
      </c>
      <c r="O1058" s="55">
        <v>465320000</v>
      </c>
      <c r="P1058" s="55">
        <v>0</v>
      </c>
      <c r="Q1058" s="55">
        <v>465320000</v>
      </c>
      <c r="R1058" s="55">
        <v>2200628000</v>
      </c>
      <c r="S1058" s="55">
        <v>0</v>
      </c>
      <c r="T1058" s="55">
        <v>2200628000</v>
      </c>
      <c r="U1058" s="55">
        <v>238789000</v>
      </c>
      <c r="V1058" s="55">
        <v>0</v>
      </c>
      <c r="W1058" s="55">
        <v>238789000</v>
      </c>
      <c r="X1058" s="55">
        <v>65678000</v>
      </c>
      <c r="Y1058" s="55">
        <v>0</v>
      </c>
      <c r="Z1058" s="55">
        <v>65678000</v>
      </c>
      <c r="AA1058" s="55">
        <v>67619000</v>
      </c>
      <c r="AB1058" s="55">
        <v>0</v>
      </c>
      <c r="AC1058" s="55">
        <v>67619000</v>
      </c>
      <c r="AD1058" s="55">
        <v>0</v>
      </c>
      <c r="AE1058" s="55">
        <v>0</v>
      </c>
      <c r="AF1058" s="55">
        <v>0</v>
      </c>
      <c r="AG1058" s="55">
        <v>0</v>
      </c>
      <c r="AH1058" s="55">
        <v>0</v>
      </c>
      <c r="AI1058" s="55">
        <v>0</v>
      </c>
      <c r="AJ1058" s="55">
        <v>2791498</v>
      </c>
      <c r="AK1058" s="55">
        <v>1679040</v>
      </c>
      <c r="AL1058" s="55">
        <v>44933</v>
      </c>
      <c r="AM1058" s="55">
        <v>2859</v>
      </c>
      <c r="AN1058" s="55">
        <v>7175700</v>
      </c>
      <c r="AO1058" s="55">
        <v>7719300</v>
      </c>
      <c r="AQ1058" s="55">
        <v>27746776561800</v>
      </c>
      <c r="AR1058" s="55">
        <v>67547358000</v>
      </c>
      <c r="AS1058" s="55">
        <v>26380289000</v>
      </c>
      <c r="AT1058" s="55">
        <v>308576442000</v>
      </c>
      <c r="AU1058" s="55">
        <f t="shared" si="782"/>
        <v>95558499</v>
      </c>
      <c r="AV1058" s="99">
        <f t="shared" si="783"/>
        <v>35656808490.395996</v>
      </c>
    </row>
    <row r="1059" spans="1:48">
      <c r="A1059" s="92">
        <v>45223</v>
      </c>
      <c r="B1059" s="55">
        <v>131537064000</v>
      </c>
      <c r="C1059" s="55">
        <v>0</v>
      </c>
      <c r="D1059" s="55">
        <v>0</v>
      </c>
      <c r="E1059" s="55">
        <v>0</v>
      </c>
      <c r="F1059" s="55">
        <v>131537064000</v>
      </c>
      <c r="G1059" s="55">
        <v>35515007</v>
      </c>
      <c r="H1059" s="55">
        <v>36290886000</v>
      </c>
      <c r="I1059" s="55">
        <v>5741000000</v>
      </c>
      <c r="J1059" s="55">
        <v>42031886000</v>
      </c>
      <c r="L1059" s="55">
        <v>13645134000</v>
      </c>
      <c r="M1059" s="55">
        <v>5690210000</v>
      </c>
      <c r="N1059" s="55">
        <v>19335344000</v>
      </c>
      <c r="O1059" s="55">
        <v>3675825000</v>
      </c>
      <c r="P1059" s="55">
        <v>0</v>
      </c>
      <c r="Q1059" s="55">
        <v>3675825000</v>
      </c>
      <c r="R1059" s="55">
        <v>2734415000</v>
      </c>
      <c r="S1059" s="55">
        <v>0</v>
      </c>
      <c r="T1059" s="55">
        <v>2734415000</v>
      </c>
      <c r="U1059" s="55">
        <v>1178230000</v>
      </c>
      <c r="V1059" s="55">
        <v>0</v>
      </c>
      <c r="W1059" s="55">
        <v>1178230000</v>
      </c>
      <c r="X1059" s="55">
        <v>23501000</v>
      </c>
      <c r="Y1059" s="55">
        <v>0</v>
      </c>
      <c r="Z1059" s="55">
        <v>23501000</v>
      </c>
      <c r="AA1059" s="55">
        <v>43320000</v>
      </c>
      <c r="AB1059" s="55">
        <v>0</v>
      </c>
      <c r="AC1059" s="55">
        <v>43320000</v>
      </c>
      <c r="AD1059" s="55">
        <v>0</v>
      </c>
      <c r="AE1059" s="55">
        <v>0</v>
      </c>
      <c r="AF1059" s="55">
        <v>0</v>
      </c>
      <c r="AG1059" s="55">
        <v>0</v>
      </c>
      <c r="AH1059" s="55">
        <v>0</v>
      </c>
      <c r="AI1059" s="55">
        <v>0</v>
      </c>
      <c r="AJ1059" s="55">
        <v>8277479</v>
      </c>
      <c r="AK1059" s="55">
        <v>445380</v>
      </c>
      <c r="AL1059" s="55">
        <v>44933</v>
      </c>
      <c r="AM1059" s="55">
        <v>1627</v>
      </c>
      <c r="AN1059" s="55">
        <v>9355950</v>
      </c>
      <c r="AO1059" s="55">
        <v>4392900</v>
      </c>
      <c r="AQ1059" s="55">
        <v>24212336334800</v>
      </c>
      <c r="AR1059" s="55">
        <v>207811864000</v>
      </c>
      <c r="AS1059" s="55">
        <v>121129092000</v>
      </c>
      <c r="AT1059" s="55">
        <v>252666156000</v>
      </c>
      <c r="AU1059" s="55">
        <f t="shared" si="782"/>
        <v>57986716</v>
      </c>
      <c r="AV1059" s="99">
        <f t="shared" si="783"/>
        <v>35714795206.395996</v>
      </c>
    </row>
    <row r="1060" spans="1:48">
      <c r="A1060" s="92">
        <v>45224</v>
      </c>
      <c r="B1060" s="55">
        <v>169507839000</v>
      </c>
      <c r="C1060" s="55">
        <v>0</v>
      </c>
      <c r="D1060" s="55">
        <v>0</v>
      </c>
      <c r="E1060" s="55">
        <v>0</v>
      </c>
      <c r="F1060" s="55">
        <v>169507839000</v>
      </c>
      <c r="G1060" s="55">
        <v>45767117</v>
      </c>
      <c r="H1060" s="55">
        <v>1336764000</v>
      </c>
      <c r="I1060" s="55">
        <v>9652500000</v>
      </c>
      <c r="J1060" s="55">
        <v>10989264000</v>
      </c>
      <c r="L1060" s="55">
        <v>9286869000</v>
      </c>
      <c r="M1060" s="55">
        <v>1495980000</v>
      </c>
      <c r="N1060" s="55">
        <v>10782849000</v>
      </c>
      <c r="O1060" s="55">
        <v>906614000</v>
      </c>
      <c r="P1060" s="55">
        <v>0</v>
      </c>
      <c r="Q1060" s="55">
        <v>906614000</v>
      </c>
      <c r="R1060" s="55">
        <v>949792000</v>
      </c>
      <c r="S1060" s="55">
        <v>0</v>
      </c>
      <c r="T1060" s="55">
        <v>949792000</v>
      </c>
      <c r="U1060" s="55">
        <v>75880000</v>
      </c>
      <c r="V1060" s="55">
        <v>3447750000</v>
      </c>
      <c r="W1060" s="55">
        <v>3523630000</v>
      </c>
      <c r="X1060" s="55">
        <v>19165000</v>
      </c>
      <c r="Y1060" s="55">
        <v>0</v>
      </c>
      <c r="Z1060" s="55">
        <v>19165000</v>
      </c>
      <c r="AA1060" s="55">
        <v>3008860000</v>
      </c>
      <c r="AB1060" s="55">
        <v>987200000</v>
      </c>
      <c r="AC1060" s="55">
        <v>3996060000</v>
      </c>
      <c r="AD1060" s="55">
        <v>1020000</v>
      </c>
      <c r="AE1060" s="55">
        <v>0</v>
      </c>
      <c r="AF1060" s="55">
        <v>1020000</v>
      </c>
      <c r="AG1060" s="55">
        <v>0</v>
      </c>
      <c r="AH1060" s="55">
        <v>0</v>
      </c>
      <c r="AI1060" s="55">
        <v>0</v>
      </c>
      <c r="AJ1060" s="55">
        <v>4488194</v>
      </c>
      <c r="AK1060" s="55">
        <v>1693680</v>
      </c>
      <c r="AL1060" s="55">
        <v>44933</v>
      </c>
      <c r="AM1060" s="55">
        <v>1516</v>
      </c>
      <c r="AN1060" s="55">
        <v>6250050</v>
      </c>
      <c r="AO1060" s="55">
        <v>4093200</v>
      </c>
      <c r="AQ1060" s="55">
        <v>26226920522800</v>
      </c>
      <c r="AR1060" s="55">
        <v>78209090000</v>
      </c>
      <c r="AS1060" s="55">
        <v>50175424000</v>
      </c>
      <c r="AT1060" s="55">
        <v>219683263000</v>
      </c>
      <c r="AU1060" s="55">
        <f t="shared" si="782"/>
        <v>62292241</v>
      </c>
      <c r="AV1060" s="99">
        <f t="shared" si="783"/>
        <v>35777087447.395996</v>
      </c>
    </row>
    <row r="1061" spans="1:48">
      <c r="A1061" s="92">
        <v>45225</v>
      </c>
      <c r="B1061" s="55">
        <v>202798344000</v>
      </c>
      <c r="C1061" s="55">
        <v>0</v>
      </c>
      <c r="D1061" s="55">
        <v>0</v>
      </c>
      <c r="E1061" s="55">
        <v>0</v>
      </c>
      <c r="F1061" s="55">
        <v>202798344000</v>
      </c>
      <c r="G1061" s="55">
        <v>54755553</v>
      </c>
      <c r="H1061" s="55">
        <v>5800196000</v>
      </c>
      <c r="I1061" s="55">
        <v>0</v>
      </c>
      <c r="J1061" s="55">
        <v>5800196000</v>
      </c>
      <c r="L1061" s="55">
        <v>43534709000</v>
      </c>
      <c r="M1061" s="55">
        <v>0</v>
      </c>
      <c r="N1061" s="55">
        <v>43534709000</v>
      </c>
      <c r="O1061" s="55">
        <v>1954934000</v>
      </c>
      <c r="P1061" s="55">
        <v>0</v>
      </c>
      <c r="Q1061" s="55">
        <v>1954934000</v>
      </c>
      <c r="R1061" s="55">
        <v>4337571000</v>
      </c>
      <c r="S1061" s="55">
        <v>0</v>
      </c>
      <c r="T1061" s="55">
        <v>4337571000</v>
      </c>
      <c r="U1061" s="55">
        <v>520274000</v>
      </c>
      <c r="V1061" s="55">
        <v>0</v>
      </c>
      <c r="W1061" s="55">
        <v>520274000</v>
      </c>
      <c r="X1061" s="55">
        <v>162642000</v>
      </c>
      <c r="Y1061" s="55">
        <v>0</v>
      </c>
      <c r="Z1061" s="55">
        <v>162642000</v>
      </c>
      <c r="AA1061" s="55">
        <v>14099566000</v>
      </c>
      <c r="AB1061" s="55">
        <v>0</v>
      </c>
      <c r="AC1061" s="55">
        <v>14099566000</v>
      </c>
      <c r="AD1061" s="55">
        <v>8950000</v>
      </c>
      <c r="AE1061" s="55">
        <v>0</v>
      </c>
      <c r="AF1061" s="55">
        <v>8950000</v>
      </c>
      <c r="AG1061" s="55">
        <v>0</v>
      </c>
      <c r="AH1061" s="55">
        <v>0</v>
      </c>
      <c r="AI1061" s="55">
        <v>0</v>
      </c>
      <c r="AJ1061" s="55">
        <v>7605235</v>
      </c>
      <c r="AK1061" s="55">
        <v>1040700</v>
      </c>
      <c r="AL1061" s="55">
        <v>44933</v>
      </c>
      <c r="AM1061" s="55">
        <v>2169</v>
      </c>
      <c r="AN1061" s="55">
        <v>9343200</v>
      </c>
      <c r="AO1061" s="55">
        <v>5856300</v>
      </c>
      <c r="AQ1061" s="55">
        <v>54966308060000</v>
      </c>
      <c r="AR1061" s="55">
        <v>421272460000</v>
      </c>
      <c r="AS1061" s="55">
        <v>131650651000</v>
      </c>
      <c r="AT1061" s="55">
        <v>334448995000</v>
      </c>
      <c r="AU1061" s="55">
        <f t="shared" si="782"/>
        <v>78600988</v>
      </c>
      <c r="AV1061" s="99">
        <f t="shared" si="783"/>
        <v>35855688435.395996</v>
      </c>
    </row>
    <row r="1062" spans="1:48">
      <c r="A1062" s="92">
        <v>45226</v>
      </c>
      <c r="B1062" s="55">
        <v>74763640000</v>
      </c>
      <c r="C1062" s="55">
        <v>10201781300</v>
      </c>
      <c r="D1062" s="55">
        <v>0</v>
      </c>
      <c r="E1062" s="55">
        <v>0</v>
      </c>
      <c r="F1062" s="55">
        <v>84965421300</v>
      </c>
      <c r="G1062" s="55">
        <v>22940664</v>
      </c>
      <c r="H1062" s="55">
        <v>4435981000</v>
      </c>
      <c r="I1062" s="55">
        <v>0</v>
      </c>
      <c r="J1062" s="55">
        <v>4435981000</v>
      </c>
      <c r="L1062" s="55">
        <v>12929539000</v>
      </c>
      <c r="M1062" s="55">
        <v>0</v>
      </c>
      <c r="N1062" s="55">
        <v>12929539000</v>
      </c>
      <c r="O1062" s="55">
        <v>3891386000</v>
      </c>
      <c r="P1062" s="55">
        <v>0</v>
      </c>
      <c r="Q1062" s="55">
        <v>3891386000</v>
      </c>
      <c r="R1062" s="55">
        <v>2144057000</v>
      </c>
      <c r="S1062" s="55">
        <v>0</v>
      </c>
      <c r="T1062" s="55">
        <v>2144057000</v>
      </c>
      <c r="U1062" s="55">
        <v>337635000</v>
      </c>
      <c r="V1062" s="55">
        <v>0</v>
      </c>
      <c r="W1062" s="55">
        <v>337635000</v>
      </c>
      <c r="X1062" s="55">
        <v>37089000</v>
      </c>
      <c r="Y1062" s="55">
        <v>0</v>
      </c>
      <c r="Z1062" s="55">
        <v>37089000</v>
      </c>
      <c r="AA1062" s="55">
        <v>0</v>
      </c>
      <c r="AB1062" s="55">
        <v>0</v>
      </c>
      <c r="AC1062" s="55">
        <v>0</v>
      </c>
      <c r="AD1062" s="55">
        <v>47236000</v>
      </c>
      <c r="AE1062" s="55">
        <v>0</v>
      </c>
      <c r="AF1062" s="55">
        <v>47236000</v>
      </c>
      <c r="AG1062" s="55">
        <v>0</v>
      </c>
      <c r="AH1062" s="55">
        <v>0</v>
      </c>
      <c r="AI1062" s="55">
        <v>0</v>
      </c>
      <c r="AJ1062" s="55">
        <v>2572876</v>
      </c>
      <c r="AK1062" s="55">
        <v>1200150</v>
      </c>
      <c r="AL1062" s="55">
        <v>44933</v>
      </c>
      <c r="AM1062" s="55">
        <v>1130</v>
      </c>
      <c r="AN1062" s="55">
        <v>22904100</v>
      </c>
      <c r="AO1062" s="55">
        <v>3051000</v>
      </c>
      <c r="AQ1062" s="55">
        <v>31159789956800</v>
      </c>
      <c r="AR1062" s="55">
        <v>210353780000</v>
      </c>
      <c r="AS1062" s="55">
        <v>64514333000</v>
      </c>
      <c r="AT1062" s="55">
        <v>154939894300</v>
      </c>
      <c r="AU1062" s="55">
        <f t="shared" si="782"/>
        <v>52668790</v>
      </c>
      <c r="AV1062" s="99">
        <f t="shared" si="783"/>
        <v>35908357225.395996</v>
      </c>
    </row>
    <row r="1063" spans="1:48">
      <c r="A1063" s="92">
        <v>45229</v>
      </c>
      <c r="B1063" s="55">
        <v>164867775000</v>
      </c>
      <c r="C1063" s="55">
        <v>1799265000</v>
      </c>
      <c r="D1063" s="55">
        <v>0</v>
      </c>
      <c r="E1063" s="55">
        <v>0</v>
      </c>
      <c r="F1063" s="55">
        <v>166667040000</v>
      </c>
      <c r="G1063" s="55">
        <v>45000101</v>
      </c>
      <c r="H1063" s="55">
        <v>4588262000</v>
      </c>
      <c r="I1063" s="55">
        <v>19866670000</v>
      </c>
      <c r="J1063" s="55">
        <v>24454932000</v>
      </c>
      <c r="L1063" s="55">
        <v>22913909000</v>
      </c>
      <c r="M1063" s="55">
        <v>9582000000</v>
      </c>
      <c r="N1063" s="55">
        <v>32495909000</v>
      </c>
      <c r="O1063" s="55">
        <v>244552000</v>
      </c>
      <c r="P1063" s="55">
        <v>0</v>
      </c>
      <c r="Q1063" s="55">
        <v>244552000</v>
      </c>
      <c r="R1063" s="55">
        <v>1327143000</v>
      </c>
      <c r="S1063" s="55">
        <v>0</v>
      </c>
      <c r="T1063" s="55">
        <v>1327143000</v>
      </c>
      <c r="U1063" s="55">
        <v>55373000</v>
      </c>
      <c r="V1063" s="55">
        <v>3480620000</v>
      </c>
      <c r="W1063" s="55">
        <v>3535993000</v>
      </c>
      <c r="X1063" s="55">
        <v>52740000</v>
      </c>
      <c r="Y1063" s="55">
        <v>0</v>
      </c>
      <c r="Z1063" s="55">
        <v>52740000</v>
      </c>
      <c r="AA1063" s="55">
        <v>2166226000</v>
      </c>
      <c r="AB1063" s="55">
        <v>925500000</v>
      </c>
      <c r="AC1063" s="55">
        <v>3091726000</v>
      </c>
      <c r="AD1063" s="55">
        <v>1976000</v>
      </c>
      <c r="AE1063" s="55">
        <v>0</v>
      </c>
      <c r="AF1063" s="55">
        <v>1976000</v>
      </c>
      <c r="AG1063" s="55">
        <v>0</v>
      </c>
      <c r="AH1063" s="55">
        <v>0</v>
      </c>
      <c r="AI1063" s="55">
        <v>0</v>
      </c>
      <c r="AJ1063" s="55">
        <v>9479682</v>
      </c>
      <c r="AK1063" s="55">
        <v>1156080</v>
      </c>
      <c r="AL1063" s="55">
        <v>44933</v>
      </c>
      <c r="AM1063" s="55">
        <v>1821</v>
      </c>
      <c r="AN1063" s="55">
        <v>8014650</v>
      </c>
      <c r="AO1063" s="55">
        <v>4916700</v>
      </c>
      <c r="AQ1063" s="55">
        <v>23899734830800</v>
      </c>
      <c r="AR1063" s="55">
        <v>219510566000</v>
      </c>
      <c r="AS1063" s="55">
        <v>101382761000</v>
      </c>
      <c r="AT1063" s="55">
        <v>268049801000</v>
      </c>
      <c r="AU1063" s="55">
        <f t="shared" si="782"/>
        <v>68567213</v>
      </c>
      <c r="AV1063" s="99">
        <f t="shared" si="783"/>
        <v>35976924438.395996</v>
      </c>
    </row>
    <row r="1064" spans="1:48">
      <c r="A1064" s="92">
        <v>45230</v>
      </c>
      <c r="B1064" s="55">
        <v>194868669000</v>
      </c>
      <c r="C1064" s="55">
        <v>1761045000</v>
      </c>
      <c r="D1064" s="55">
        <v>3573365000</v>
      </c>
      <c r="E1064" s="55">
        <v>0</v>
      </c>
      <c r="F1064" s="55">
        <v>200203079000</v>
      </c>
      <c r="G1064" s="55">
        <v>54054831</v>
      </c>
      <c r="H1064" s="55">
        <v>1617144000</v>
      </c>
      <c r="I1064" s="55">
        <v>12203320000</v>
      </c>
      <c r="J1064" s="55">
        <v>13820464000</v>
      </c>
      <c r="L1064" s="55">
        <v>20445173000</v>
      </c>
      <c r="M1064" s="55">
        <v>12674480000</v>
      </c>
      <c r="N1064" s="55">
        <v>33119653000</v>
      </c>
      <c r="O1064" s="55">
        <v>337852000</v>
      </c>
      <c r="P1064" s="55">
        <v>0</v>
      </c>
      <c r="Q1064" s="55">
        <v>337852000</v>
      </c>
      <c r="R1064" s="55">
        <v>2294709000</v>
      </c>
      <c r="S1064" s="55">
        <v>0</v>
      </c>
      <c r="T1064" s="55">
        <v>2294709000</v>
      </c>
      <c r="U1064" s="55">
        <v>2707000</v>
      </c>
      <c r="V1064" s="55">
        <v>0</v>
      </c>
      <c r="W1064" s="55">
        <v>2707000</v>
      </c>
      <c r="X1064" s="55">
        <v>33741000</v>
      </c>
      <c r="Y1064" s="55">
        <v>0</v>
      </c>
      <c r="Z1064" s="55">
        <v>33741000</v>
      </c>
      <c r="AA1064" s="55">
        <v>4964191000</v>
      </c>
      <c r="AB1064" s="55">
        <v>901000000</v>
      </c>
      <c r="AC1064" s="55">
        <v>5865191000</v>
      </c>
      <c r="AD1064" s="55">
        <v>1934000</v>
      </c>
      <c r="AE1064" s="55">
        <v>0</v>
      </c>
      <c r="AF1064" s="55">
        <v>1934000</v>
      </c>
      <c r="AG1064" s="55">
        <v>0</v>
      </c>
      <c r="AH1064" s="55">
        <v>0</v>
      </c>
      <c r="AI1064" s="55">
        <v>0</v>
      </c>
      <c r="AJ1064" s="55">
        <v>7847509</v>
      </c>
      <c r="AK1064" s="55">
        <v>1120950</v>
      </c>
      <c r="AL1064" s="55">
        <v>44933</v>
      </c>
      <c r="AM1064" s="55">
        <v>2248</v>
      </c>
      <c r="AN1064" s="55">
        <v>9019350</v>
      </c>
      <c r="AO1064" s="55">
        <v>6069600</v>
      </c>
      <c r="AP1064" s="55">
        <v>113456281</v>
      </c>
      <c r="AQ1064" s="55">
        <v>34651916772800</v>
      </c>
      <c r="AR1064" s="55">
        <v>135936482000</v>
      </c>
      <c r="AS1064" s="55">
        <v>86223851000</v>
      </c>
      <c r="AT1064" s="55">
        <v>286426930000</v>
      </c>
      <c r="AU1064" s="55">
        <f t="shared" si="782"/>
        <v>191568521</v>
      </c>
      <c r="AV1064" s="99">
        <f t="shared" si="783"/>
        <v>36168492959.395996</v>
      </c>
    </row>
    <row r="1065" spans="1:48">
      <c r="A1065" s="92">
        <v>45231</v>
      </c>
      <c r="B1065" s="55">
        <v>113384833000</v>
      </c>
      <c r="C1065" s="55">
        <v>702720000</v>
      </c>
      <c r="D1065" s="55">
        <v>1067575000</v>
      </c>
      <c r="E1065" s="55">
        <v>0</v>
      </c>
      <c r="F1065" s="55">
        <v>115155128000</v>
      </c>
      <c r="G1065" s="55">
        <v>31091885</v>
      </c>
      <c r="H1065" s="55">
        <v>1802000</v>
      </c>
      <c r="I1065" s="55">
        <v>41199250000</v>
      </c>
      <c r="J1065" s="55">
        <v>41201052000</v>
      </c>
      <c r="L1065" s="55">
        <v>6953831000</v>
      </c>
      <c r="M1065" s="55">
        <v>4588400000</v>
      </c>
      <c r="N1065" s="55">
        <v>11542231000</v>
      </c>
      <c r="O1065" s="55">
        <v>360714000</v>
      </c>
      <c r="P1065" s="55">
        <v>0</v>
      </c>
      <c r="Q1065" s="55">
        <v>360714000</v>
      </c>
      <c r="R1065" s="55">
        <v>1750889000</v>
      </c>
      <c r="S1065" s="55">
        <v>0</v>
      </c>
      <c r="T1065" s="55">
        <v>1750889000</v>
      </c>
      <c r="U1065" s="55">
        <v>423315000</v>
      </c>
      <c r="V1065" s="55">
        <v>0</v>
      </c>
      <c r="W1065" s="55">
        <v>423315000</v>
      </c>
      <c r="X1065" s="55">
        <v>29701000</v>
      </c>
      <c r="Y1065" s="55">
        <v>0</v>
      </c>
      <c r="Z1065" s="55">
        <v>29701000</v>
      </c>
      <c r="AA1065" s="55">
        <v>400218000</v>
      </c>
      <c r="AB1065" s="55">
        <v>0</v>
      </c>
      <c r="AC1065" s="55">
        <v>400218000</v>
      </c>
      <c r="AD1065" s="55">
        <v>982000</v>
      </c>
      <c r="AE1065" s="55">
        <v>0</v>
      </c>
      <c r="AF1065" s="55">
        <v>982000</v>
      </c>
      <c r="AG1065" s="55">
        <v>0</v>
      </c>
      <c r="AH1065" s="55">
        <v>0</v>
      </c>
      <c r="AI1065" s="55">
        <v>0</v>
      </c>
      <c r="AJ1065" s="55">
        <v>9313294</v>
      </c>
      <c r="AK1065" s="55">
        <v>1154610</v>
      </c>
      <c r="AL1065" s="55">
        <v>44933</v>
      </c>
      <c r="AM1065" s="55">
        <v>792</v>
      </c>
      <c r="AN1065" s="55">
        <v>9121350</v>
      </c>
      <c r="AO1065" s="55">
        <v>2138400</v>
      </c>
      <c r="AQ1065" s="55">
        <v>30214268098200</v>
      </c>
      <c r="AR1065" s="55">
        <v>136513024000</v>
      </c>
      <c r="AS1065" s="55">
        <v>102138124000</v>
      </c>
      <c r="AT1065" s="55">
        <v>217293252000</v>
      </c>
      <c r="AU1065" s="55">
        <f t="shared" si="782"/>
        <v>52819539</v>
      </c>
      <c r="AV1065" s="99">
        <f t="shared" si="783"/>
        <v>36221312498.395996</v>
      </c>
    </row>
    <row r="1066" spans="1:48">
      <c r="A1066" s="92">
        <v>45232</v>
      </c>
      <c r="B1066" s="55">
        <v>101151265000.20001</v>
      </c>
      <c r="C1066" s="55">
        <v>893010000</v>
      </c>
      <c r="D1066" s="55">
        <v>0</v>
      </c>
      <c r="E1066" s="55">
        <v>0</v>
      </c>
      <c r="F1066" s="55">
        <v>102044275000.20001</v>
      </c>
      <c r="G1066" s="55">
        <v>27551954</v>
      </c>
      <c r="H1066" s="55">
        <v>194064000</v>
      </c>
      <c r="I1066" s="55">
        <v>0</v>
      </c>
      <c r="J1066" s="55">
        <v>194064000</v>
      </c>
      <c r="L1066" s="55">
        <v>5594854000</v>
      </c>
      <c r="M1066" s="55">
        <v>0</v>
      </c>
      <c r="N1066" s="55">
        <v>5594854000</v>
      </c>
      <c r="O1066" s="55">
        <v>158674000</v>
      </c>
      <c r="P1066" s="55">
        <v>0</v>
      </c>
      <c r="Q1066" s="55">
        <v>158674000</v>
      </c>
      <c r="R1066" s="55">
        <v>779166000</v>
      </c>
      <c r="S1066" s="55">
        <v>0</v>
      </c>
      <c r="T1066" s="55">
        <v>779166000</v>
      </c>
      <c r="U1066" s="55">
        <v>30577000</v>
      </c>
      <c r="V1066" s="55">
        <v>0</v>
      </c>
      <c r="W1066" s="55">
        <v>30577000</v>
      </c>
      <c r="X1066" s="55">
        <v>10503000</v>
      </c>
      <c r="Y1066" s="55">
        <v>0</v>
      </c>
      <c r="Z1066" s="55">
        <v>10503000</v>
      </c>
      <c r="AA1066" s="55">
        <v>528729000</v>
      </c>
      <c r="AB1066" s="55">
        <v>0</v>
      </c>
      <c r="AC1066" s="55">
        <v>528729000</v>
      </c>
      <c r="AD1066" s="55">
        <v>0</v>
      </c>
      <c r="AE1066" s="55">
        <v>0</v>
      </c>
      <c r="AF1066" s="55">
        <v>0</v>
      </c>
      <c r="AG1066" s="55">
        <v>0</v>
      </c>
      <c r="AH1066" s="55">
        <v>0</v>
      </c>
      <c r="AI1066" s="55">
        <v>0</v>
      </c>
      <c r="AJ1066" s="55">
        <v>788029</v>
      </c>
      <c r="AK1066" s="55">
        <v>1117770</v>
      </c>
      <c r="AL1066" s="55">
        <v>44933</v>
      </c>
      <c r="AM1066" s="55">
        <v>1354</v>
      </c>
      <c r="AN1066" s="55">
        <v>6290850</v>
      </c>
      <c r="AO1066" s="55">
        <v>3655800</v>
      </c>
      <c r="AQ1066" s="55">
        <v>34869953698000</v>
      </c>
      <c r="AR1066" s="55">
        <v>168871770000</v>
      </c>
      <c r="AS1066" s="55">
        <v>55269017000</v>
      </c>
      <c r="AT1066" s="55">
        <v>157508392000.20001</v>
      </c>
      <c r="AU1066" s="55">
        <f t="shared" si="782"/>
        <v>39404403</v>
      </c>
      <c r="AV1066" s="99">
        <f t="shared" si="783"/>
        <v>36260716901.395996</v>
      </c>
    </row>
    <row r="1067" spans="1:48">
      <c r="A1067" s="92">
        <v>45233</v>
      </c>
      <c r="B1067" s="55">
        <v>241158490000.03</v>
      </c>
      <c r="C1067" s="55">
        <v>42025905000</v>
      </c>
      <c r="D1067" s="55">
        <v>0</v>
      </c>
      <c r="E1067" s="55">
        <v>0</v>
      </c>
      <c r="F1067" s="55">
        <v>283184395000.03003</v>
      </c>
      <c r="G1067" s="55">
        <v>76459787</v>
      </c>
      <c r="H1067" s="55">
        <v>881254000</v>
      </c>
      <c r="I1067" s="55">
        <v>0</v>
      </c>
      <c r="J1067" s="55">
        <v>881254000</v>
      </c>
      <c r="L1067" s="55">
        <v>4910540000</v>
      </c>
      <c r="M1067" s="55">
        <v>0</v>
      </c>
      <c r="N1067" s="55">
        <v>4910540000</v>
      </c>
      <c r="O1067" s="55">
        <v>372961000</v>
      </c>
      <c r="P1067" s="55">
        <v>0</v>
      </c>
      <c r="Q1067" s="55">
        <v>372961000</v>
      </c>
      <c r="R1067" s="55">
        <v>1188319000</v>
      </c>
      <c r="S1067" s="55">
        <v>0</v>
      </c>
      <c r="T1067" s="55">
        <v>1188319000</v>
      </c>
      <c r="U1067" s="55">
        <v>21684000</v>
      </c>
      <c r="V1067" s="55">
        <v>0</v>
      </c>
      <c r="W1067" s="55">
        <v>21684000</v>
      </c>
      <c r="X1067" s="55">
        <v>28080000</v>
      </c>
      <c r="Y1067" s="55">
        <v>0</v>
      </c>
      <c r="Z1067" s="55">
        <v>28080000</v>
      </c>
      <c r="AA1067" s="55">
        <v>29173000</v>
      </c>
      <c r="AB1067" s="55">
        <v>0</v>
      </c>
      <c r="AC1067" s="55">
        <v>29173000</v>
      </c>
      <c r="AD1067" s="55">
        <v>1022000</v>
      </c>
      <c r="AE1067" s="55">
        <v>0</v>
      </c>
      <c r="AF1067" s="55">
        <v>1022000</v>
      </c>
      <c r="AG1067" s="55">
        <v>0</v>
      </c>
      <c r="AH1067" s="55">
        <v>0</v>
      </c>
      <c r="AI1067" s="55">
        <v>0</v>
      </c>
      <c r="AJ1067" s="55">
        <v>802768</v>
      </c>
      <c r="AK1067" s="55">
        <v>0</v>
      </c>
      <c r="AL1067" s="55">
        <v>44933</v>
      </c>
      <c r="AM1067" s="55">
        <v>2838</v>
      </c>
      <c r="AN1067" s="55">
        <v>20050650</v>
      </c>
      <c r="AO1067" s="55">
        <v>7662600</v>
      </c>
      <c r="AQ1067" s="55">
        <v>35056657144000</v>
      </c>
      <c r="AR1067" s="55">
        <v>189050632000</v>
      </c>
      <c r="AS1067" s="55">
        <v>157061433000</v>
      </c>
      <c r="AT1067" s="55">
        <v>440245828000.03003</v>
      </c>
      <c r="AU1067" s="55">
        <f t="shared" ref="AU1067:AU1086" si="784">G1067+AJ1067+AK1067+AN1067+AO1067+AP1067</f>
        <v>104975805</v>
      </c>
      <c r="AV1067" s="99">
        <f t="shared" ref="AV1067:AV1086" si="785">AV1066+AU1067</f>
        <v>36365692706.395996</v>
      </c>
    </row>
    <row r="1068" spans="1:48">
      <c r="A1068" s="92">
        <v>45236</v>
      </c>
      <c r="B1068" s="55">
        <v>224572382000</v>
      </c>
      <c r="C1068" s="55">
        <v>0</v>
      </c>
      <c r="D1068" s="55">
        <v>0</v>
      </c>
      <c r="E1068" s="55">
        <v>0</v>
      </c>
      <c r="F1068" s="55">
        <v>224572382000</v>
      </c>
      <c r="G1068" s="55">
        <v>60634543</v>
      </c>
      <c r="H1068" s="55">
        <v>82911000</v>
      </c>
      <c r="I1068" s="55">
        <v>26389700000</v>
      </c>
      <c r="J1068" s="55">
        <v>26472611000</v>
      </c>
      <c r="L1068" s="55">
        <v>9933870000</v>
      </c>
      <c r="M1068" s="55">
        <v>14568600000</v>
      </c>
      <c r="N1068" s="55">
        <v>24502470000</v>
      </c>
      <c r="O1068" s="55">
        <v>456281000</v>
      </c>
      <c r="P1068" s="55">
        <v>0</v>
      </c>
      <c r="Q1068" s="55">
        <v>456281000</v>
      </c>
      <c r="R1068" s="55">
        <v>653997000</v>
      </c>
      <c r="S1068" s="55">
        <v>0</v>
      </c>
      <c r="T1068" s="55">
        <v>653997000</v>
      </c>
      <c r="U1068" s="55">
        <v>115466000</v>
      </c>
      <c r="V1068" s="55">
        <v>0</v>
      </c>
      <c r="W1068" s="55">
        <v>115466000</v>
      </c>
      <c r="X1068" s="55">
        <v>5040000</v>
      </c>
      <c r="Y1068" s="55">
        <v>0</v>
      </c>
      <c r="Z1068" s="55">
        <v>5040000</v>
      </c>
      <c r="AA1068" s="55">
        <v>68603000</v>
      </c>
      <c r="AB1068" s="55">
        <v>0</v>
      </c>
      <c r="AC1068" s="55">
        <v>68603000</v>
      </c>
      <c r="AD1068" s="55">
        <v>1022000</v>
      </c>
      <c r="AE1068" s="55">
        <v>0</v>
      </c>
      <c r="AF1068" s="55">
        <v>1022000</v>
      </c>
      <c r="AG1068" s="55">
        <v>0</v>
      </c>
      <c r="AH1068" s="55">
        <v>0</v>
      </c>
      <c r="AI1068" s="55">
        <v>0</v>
      </c>
      <c r="AJ1068" s="55">
        <v>8594751</v>
      </c>
      <c r="AK1068" s="55">
        <v>0</v>
      </c>
      <c r="AL1068" s="55">
        <v>44933</v>
      </c>
      <c r="AM1068" s="55">
        <v>2268</v>
      </c>
      <c r="AN1068" s="55">
        <v>8907150</v>
      </c>
      <c r="AO1068" s="55">
        <v>6123600</v>
      </c>
      <c r="AQ1068" s="55">
        <v>31973211553800</v>
      </c>
      <c r="AR1068" s="55">
        <v>195840924000</v>
      </c>
      <c r="AS1068" s="55">
        <v>93741030000</v>
      </c>
      <c r="AT1068" s="55">
        <v>318313412000</v>
      </c>
      <c r="AU1068" s="55">
        <f t="shared" si="784"/>
        <v>84260044</v>
      </c>
      <c r="AV1068" s="99">
        <f t="shared" si="785"/>
        <v>36449952750.395996</v>
      </c>
    </row>
    <row r="1069" spans="1:48">
      <c r="A1069" s="92">
        <v>45237</v>
      </c>
      <c r="B1069" s="55">
        <v>74404535000</v>
      </c>
      <c r="C1069" s="55">
        <v>0</v>
      </c>
      <c r="D1069" s="55">
        <v>0</v>
      </c>
      <c r="E1069" s="55">
        <v>0</v>
      </c>
      <c r="F1069" s="55">
        <v>74404535000</v>
      </c>
      <c r="G1069" s="55">
        <v>20089224</v>
      </c>
      <c r="H1069" s="55">
        <v>18880000</v>
      </c>
      <c r="I1069" s="55">
        <v>6585250000</v>
      </c>
      <c r="J1069" s="55">
        <v>6604130000</v>
      </c>
      <c r="L1069" s="55">
        <v>193520000</v>
      </c>
      <c r="M1069" s="55">
        <v>2434000000</v>
      </c>
      <c r="N1069" s="55">
        <v>2627520000</v>
      </c>
      <c r="O1069" s="55">
        <v>308174000</v>
      </c>
      <c r="P1069" s="55">
        <v>0</v>
      </c>
      <c r="Q1069" s="55">
        <v>308174000</v>
      </c>
      <c r="R1069" s="55">
        <v>444986000</v>
      </c>
      <c r="S1069" s="55">
        <v>0</v>
      </c>
      <c r="T1069" s="55">
        <v>444986000</v>
      </c>
      <c r="U1069" s="55">
        <v>139942000</v>
      </c>
      <c r="V1069" s="55">
        <v>0</v>
      </c>
      <c r="W1069" s="55">
        <v>139942000</v>
      </c>
      <c r="X1069" s="55">
        <v>3600000</v>
      </c>
      <c r="Y1069" s="55">
        <v>0</v>
      </c>
      <c r="Z1069" s="55">
        <v>3600000</v>
      </c>
      <c r="AA1069" s="55">
        <v>0</v>
      </c>
      <c r="AB1069" s="55">
        <v>0</v>
      </c>
      <c r="AC1069" s="55">
        <v>0</v>
      </c>
      <c r="AD1069" s="55">
        <v>0</v>
      </c>
      <c r="AE1069" s="55">
        <v>0</v>
      </c>
      <c r="AF1069" s="55">
        <v>0</v>
      </c>
      <c r="AG1069" s="55">
        <v>0</v>
      </c>
      <c r="AH1069" s="55">
        <v>0</v>
      </c>
      <c r="AI1069" s="55">
        <v>0</v>
      </c>
      <c r="AJ1069" s="55">
        <v>1743248</v>
      </c>
      <c r="AK1069" s="55">
        <v>0</v>
      </c>
      <c r="AL1069" s="55">
        <v>44933</v>
      </c>
      <c r="AM1069" s="55">
        <v>2392</v>
      </c>
      <c r="AN1069" s="55">
        <v>8142150</v>
      </c>
      <c r="AO1069" s="55">
        <v>6458400</v>
      </c>
      <c r="AQ1069" s="55">
        <v>30004968674600</v>
      </c>
      <c r="AR1069" s="55">
        <v>310744960000</v>
      </c>
      <c r="AS1069" s="55">
        <v>19582302000</v>
      </c>
      <c r="AT1069" s="55">
        <v>93986837000</v>
      </c>
      <c r="AU1069" s="55">
        <f t="shared" si="784"/>
        <v>36433022</v>
      </c>
      <c r="AV1069" s="99">
        <f t="shared" si="785"/>
        <v>36486385772.395996</v>
      </c>
    </row>
    <row r="1070" spans="1:48">
      <c r="A1070" s="92">
        <v>45238</v>
      </c>
      <c r="B1070" s="55">
        <v>378062150000</v>
      </c>
      <c r="C1070" s="55">
        <v>0</v>
      </c>
      <c r="D1070" s="55">
        <v>0</v>
      </c>
      <c r="E1070" s="55">
        <v>0</v>
      </c>
      <c r="F1070" s="55">
        <v>378062150000</v>
      </c>
      <c r="G1070" s="55">
        <v>102076781</v>
      </c>
      <c r="H1070" s="55">
        <v>2605719000</v>
      </c>
      <c r="I1070" s="55">
        <v>116084400000</v>
      </c>
      <c r="J1070" s="55">
        <v>118690119000</v>
      </c>
      <c r="L1070" s="55">
        <v>8583494000</v>
      </c>
      <c r="M1070" s="55">
        <v>4908800000</v>
      </c>
      <c r="N1070" s="55">
        <v>13492294000</v>
      </c>
      <c r="O1070" s="55">
        <v>10784000</v>
      </c>
      <c r="P1070" s="55">
        <v>0</v>
      </c>
      <c r="Q1070" s="55">
        <v>10784000</v>
      </c>
      <c r="R1070" s="55">
        <v>2271168000</v>
      </c>
      <c r="S1070" s="55">
        <v>0</v>
      </c>
      <c r="T1070" s="55">
        <v>2271168000</v>
      </c>
      <c r="U1070" s="55">
        <v>1849281000</v>
      </c>
      <c r="V1070" s="55">
        <v>0</v>
      </c>
      <c r="W1070" s="55">
        <v>1849281000</v>
      </c>
      <c r="X1070" s="55">
        <v>268313000</v>
      </c>
      <c r="Y1070" s="55">
        <v>59328000000</v>
      </c>
      <c r="Z1070" s="55">
        <v>59596313000</v>
      </c>
      <c r="AA1070" s="55">
        <v>944135000</v>
      </c>
      <c r="AB1070" s="55">
        <v>0</v>
      </c>
      <c r="AC1070" s="55">
        <v>944135000</v>
      </c>
      <c r="AD1070" s="55">
        <v>1020000</v>
      </c>
      <c r="AE1070" s="55">
        <v>0</v>
      </c>
      <c r="AF1070" s="55">
        <v>1020000</v>
      </c>
      <c r="AG1070" s="55">
        <v>0</v>
      </c>
      <c r="AH1070" s="55">
        <v>0</v>
      </c>
      <c r="AI1070" s="55">
        <v>0</v>
      </c>
      <c r="AJ1070" s="55">
        <v>34243479</v>
      </c>
      <c r="AK1070" s="55">
        <v>0</v>
      </c>
      <c r="AL1070" s="55">
        <v>44933</v>
      </c>
      <c r="AM1070" s="55">
        <v>3273</v>
      </c>
      <c r="AN1070" s="55">
        <v>11378100</v>
      </c>
      <c r="AO1070" s="55">
        <v>8837100</v>
      </c>
      <c r="AQ1070" s="55">
        <v>43066503938000</v>
      </c>
      <c r="AR1070" s="55">
        <v>469881946000</v>
      </c>
      <c r="AS1070" s="55">
        <v>377609814000</v>
      </c>
      <c r="AT1070" s="55">
        <v>755671964000</v>
      </c>
      <c r="AU1070" s="55">
        <f t="shared" si="784"/>
        <v>156535460</v>
      </c>
      <c r="AV1070" s="99">
        <f t="shared" si="785"/>
        <v>36642921232.395996</v>
      </c>
    </row>
    <row r="1071" spans="1:48">
      <c r="A1071" s="92">
        <v>45239</v>
      </c>
      <c r="B1071" s="55">
        <v>137746644000</v>
      </c>
      <c r="C1071" s="55">
        <v>0</v>
      </c>
      <c r="D1071" s="55">
        <v>0</v>
      </c>
      <c r="E1071" s="55">
        <v>0</v>
      </c>
      <c r="F1071" s="55">
        <v>137746644000</v>
      </c>
      <c r="G1071" s="55">
        <v>37191594</v>
      </c>
      <c r="H1071" s="55">
        <v>2777542000</v>
      </c>
      <c r="I1071" s="55">
        <v>0</v>
      </c>
      <c r="J1071" s="55">
        <v>2777542000</v>
      </c>
      <c r="L1071" s="55">
        <v>7354778000</v>
      </c>
      <c r="M1071" s="55">
        <v>0</v>
      </c>
      <c r="N1071" s="55">
        <v>7354778000</v>
      </c>
      <c r="O1071" s="55">
        <v>3948593000</v>
      </c>
      <c r="P1071" s="55">
        <v>0</v>
      </c>
      <c r="Q1071" s="55">
        <v>3948593000</v>
      </c>
      <c r="R1071" s="55">
        <v>697163000</v>
      </c>
      <c r="S1071" s="55">
        <v>0</v>
      </c>
      <c r="T1071" s="55">
        <v>697163000</v>
      </c>
      <c r="U1071" s="55">
        <v>79455000</v>
      </c>
      <c r="V1071" s="55">
        <v>0</v>
      </c>
      <c r="W1071" s="55">
        <v>79455000</v>
      </c>
      <c r="X1071" s="55">
        <v>75736000</v>
      </c>
      <c r="Y1071" s="55">
        <v>0</v>
      </c>
      <c r="Z1071" s="55">
        <v>75736000</v>
      </c>
      <c r="AA1071" s="55">
        <v>138032000</v>
      </c>
      <c r="AB1071" s="55">
        <v>0</v>
      </c>
      <c r="AC1071" s="55">
        <v>138032000</v>
      </c>
      <c r="AD1071" s="55">
        <v>0</v>
      </c>
      <c r="AE1071" s="55">
        <v>0</v>
      </c>
      <c r="AF1071" s="55">
        <v>0</v>
      </c>
      <c r="AG1071" s="55">
        <v>0</v>
      </c>
      <c r="AH1071" s="55">
        <v>0</v>
      </c>
      <c r="AI1071" s="55">
        <v>0</v>
      </c>
      <c r="AJ1071" s="55">
        <v>1627700</v>
      </c>
      <c r="AK1071" s="55">
        <v>0</v>
      </c>
      <c r="AL1071" s="55">
        <v>44933</v>
      </c>
      <c r="AM1071" s="55">
        <v>3088</v>
      </c>
      <c r="AN1071" s="55">
        <v>9414600</v>
      </c>
      <c r="AO1071" s="55">
        <v>8337600</v>
      </c>
      <c r="AQ1071" s="55">
        <v>49949154740000</v>
      </c>
      <c r="AR1071" s="55">
        <v>593788440000</v>
      </c>
      <c r="AS1071" s="55">
        <v>70133499000</v>
      </c>
      <c r="AT1071" s="55">
        <v>207880143000</v>
      </c>
      <c r="AU1071" s="55">
        <f t="shared" si="784"/>
        <v>56571494</v>
      </c>
      <c r="AV1071" s="99">
        <f t="shared" si="785"/>
        <v>36699492726.395996</v>
      </c>
    </row>
    <row r="1072" spans="1:48">
      <c r="A1072" s="92">
        <v>45240</v>
      </c>
      <c r="B1072" s="55">
        <v>113804350000</v>
      </c>
      <c r="C1072" s="55">
        <v>38203955000</v>
      </c>
      <c r="D1072" s="55">
        <v>0</v>
      </c>
      <c r="E1072" s="55">
        <v>0</v>
      </c>
      <c r="F1072" s="55">
        <v>152008305000</v>
      </c>
      <c r="G1072" s="55">
        <v>41042242</v>
      </c>
      <c r="H1072" s="55">
        <v>6922051000</v>
      </c>
      <c r="I1072" s="55">
        <v>0</v>
      </c>
      <c r="J1072" s="55">
        <v>6922051000</v>
      </c>
      <c r="L1072" s="55">
        <v>2317682000</v>
      </c>
      <c r="M1072" s="55">
        <v>0</v>
      </c>
      <c r="N1072" s="55">
        <v>2317682000</v>
      </c>
      <c r="O1072" s="55">
        <v>7374133000</v>
      </c>
      <c r="P1072" s="55">
        <v>0</v>
      </c>
      <c r="Q1072" s="55">
        <v>7374133000</v>
      </c>
      <c r="R1072" s="55">
        <v>347452000</v>
      </c>
      <c r="S1072" s="55">
        <v>0</v>
      </c>
      <c r="T1072" s="55">
        <v>347452000</v>
      </c>
      <c r="U1072" s="55">
        <v>70156000</v>
      </c>
      <c r="V1072" s="55">
        <v>0</v>
      </c>
      <c r="W1072" s="55">
        <v>70156000</v>
      </c>
      <c r="X1072" s="55">
        <v>206396000</v>
      </c>
      <c r="Y1072" s="55">
        <v>0</v>
      </c>
      <c r="Z1072" s="55">
        <v>206396000</v>
      </c>
      <c r="AA1072" s="55">
        <v>146166000</v>
      </c>
      <c r="AB1072" s="55">
        <v>0</v>
      </c>
      <c r="AC1072" s="55">
        <v>146166000</v>
      </c>
      <c r="AD1072" s="55">
        <v>4126000</v>
      </c>
      <c r="AE1072" s="55">
        <v>0</v>
      </c>
      <c r="AF1072" s="55">
        <v>4126000</v>
      </c>
      <c r="AG1072" s="55">
        <v>0</v>
      </c>
      <c r="AH1072" s="55">
        <v>0</v>
      </c>
      <c r="AI1072" s="55">
        <v>0</v>
      </c>
      <c r="AJ1072" s="55">
        <v>1877921</v>
      </c>
      <c r="AK1072" s="55">
        <v>0</v>
      </c>
      <c r="AL1072" s="55">
        <v>44933</v>
      </c>
      <c r="AM1072" s="55">
        <v>1590</v>
      </c>
      <c r="AN1072" s="55">
        <v>25321500</v>
      </c>
      <c r="AO1072" s="55">
        <v>4293000</v>
      </c>
      <c r="AQ1072" s="55">
        <v>47496345296000</v>
      </c>
      <c r="AR1072" s="55">
        <v>683938878000</v>
      </c>
      <c r="AS1072" s="55">
        <v>30659562000</v>
      </c>
      <c r="AT1072" s="55">
        <v>182667867000</v>
      </c>
      <c r="AU1072" s="55">
        <f t="shared" si="784"/>
        <v>72534663</v>
      </c>
      <c r="AV1072" s="99">
        <f t="shared" si="785"/>
        <v>36772027389.395996</v>
      </c>
    </row>
    <row r="1073" spans="1:48">
      <c r="A1073" s="92">
        <v>45243</v>
      </c>
      <c r="B1073" s="55">
        <v>215353535000</v>
      </c>
      <c r="C1073" s="55">
        <v>8171655000</v>
      </c>
      <c r="D1073" s="55">
        <v>0</v>
      </c>
      <c r="E1073" s="55">
        <v>0</v>
      </c>
      <c r="F1073" s="55">
        <v>223525190000</v>
      </c>
      <c r="G1073" s="55">
        <v>60351801</v>
      </c>
      <c r="H1073" s="55">
        <v>3592446000</v>
      </c>
      <c r="I1073" s="55">
        <v>1899800000</v>
      </c>
      <c r="J1073" s="55">
        <v>5492246000</v>
      </c>
      <c r="L1073" s="55">
        <v>2692750000</v>
      </c>
      <c r="M1073" s="55">
        <v>5007400000</v>
      </c>
      <c r="N1073" s="55">
        <v>7700150000</v>
      </c>
      <c r="O1073" s="55">
        <v>7249488000</v>
      </c>
      <c r="P1073" s="55">
        <v>0</v>
      </c>
      <c r="Q1073" s="55">
        <v>7249488000</v>
      </c>
      <c r="R1073" s="55">
        <v>1049416000</v>
      </c>
      <c r="S1073" s="55">
        <v>0</v>
      </c>
      <c r="T1073" s="55">
        <v>1049416000</v>
      </c>
      <c r="U1073" s="55">
        <v>94649000</v>
      </c>
      <c r="V1073" s="55">
        <v>0</v>
      </c>
      <c r="W1073" s="55">
        <v>94649000</v>
      </c>
      <c r="X1073" s="55">
        <v>149056000</v>
      </c>
      <c r="Y1073" s="55">
        <v>0</v>
      </c>
      <c r="Z1073" s="55">
        <v>149056000</v>
      </c>
      <c r="AA1073" s="55">
        <v>25656000</v>
      </c>
      <c r="AB1073" s="55">
        <v>2053000000</v>
      </c>
      <c r="AC1073" s="55">
        <v>2078656000</v>
      </c>
      <c r="AD1073" s="55">
        <v>0</v>
      </c>
      <c r="AE1073" s="55">
        <v>0</v>
      </c>
      <c r="AF1073" s="55">
        <v>0</v>
      </c>
      <c r="AG1073" s="55">
        <v>0</v>
      </c>
      <c r="AH1073" s="55">
        <v>0</v>
      </c>
      <c r="AI1073" s="55">
        <v>0</v>
      </c>
      <c r="AJ1073" s="55">
        <v>3217010</v>
      </c>
      <c r="AK1073" s="55">
        <v>0</v>
      </c>
      <c r="AL1073" s="55">
        <v>44933</v>
      </c>
      <c r="AM1073" s="55">
        <v>2058</v>
      </c>
      <c r="AN1073" s="55">
        <v>5564100</v>
      </c>
      <c r="AO1073" s="55">
        <v>5556600</v>
      </c>
      <c r="AQ1073" s="55">
        <v>36513898500000</v>
      </c>
      <c r="AR1073" s="55">
        <v>413520714000</v>
      </c>
      <c r="AS1073" s="55">
        <v>33221161000</v>
      </c>
      <c r="AT1073" s="55">
        <v>256746351000</v>
      </c>
      <c r="AU1073" s="55">
        <f t="shared" si="784"/>
        <v>74689511</v>
      </c>
      <c r="AV1073" s="99">
        <f t="shared" si="785"/>
        <v>36846716900.395996</v>
      </c>
    </row>
    <row r="1074" spans="1:48">
      <c r="A1074" s="92">
        <v>45244</v>
      </c>
      <c r="B1074" s="55">
        <v>195545576000</v>
      </c>
      <c r="C1074" s="55">
        <v>0</v>
      </c>
      <c r="D1074" s="55">
        <v>0</v>
      </c>
      <c r="E1074" s="55">
        <v>9727190000</v>
      </c>
      <c r="F1074" s="55">
        <v>205272766000</v>
      </c>
      <c r="G1074" s="55">
        <v>55423647</v>
      </c>
      <c r="H1074" s="55">
        <v>3151105000</v>
      </c>
      <c r="I1074" s="55">
        <v>3855400000</v>
      </c>
      <c r="J1074" s="55">
        <v>7006505000</v>
      </c>
      <c r="L1074" s="55">
        <v>27642028000</v>
      </c>
      <c r="M1074" s="55">
        <v>12716100000</v>
      </c>
      <c r="N1074" s="55">
        <v>40358128000</v>
      </c>
      <c r="O1074" s="55">
        <v>12394351000</v>
      </c>
      <c r="P1074" s="55">
        <v>0</v>
      </c>
      <c r="Q1074" s="55">
        <v>12394351000</v>
      </c>
      <c r="R1074" s="55">
        <v>812239000</v>
      </c>
      <c r="S1074" s="55">
        <v>0</v>
      </c>
      <c r="T1074" s="55">
        <v>812239000</v>
      </c>
      <c r="U1074" s="55">
        <v>94728000</v>
      </c>
      <c r="V1074" s="55">
        <v>0</v>
      </c>
      <c r="W1074" s="55">
        <v>94728000</v>
      </c>
      <c r="X1074" s="55">
        <v>8087000</v>
      </c>
      <c r="Y1074" s="55">
        <v>0</v>
      </c>
      <c r="Z1074" s="55">
        <v>8087000</v>
      </c>
      <c r="AA1074" s="55">
        <v>71964000</v>
      </c>
      <c r="AB1074" s="55">
        <v>0</v>
      </c>
      <c r="AC1074" s="55">
        <v>71964000</v>
      </c>
      <c r="AD1074" s="55">
        <v>0</v>
      </c>
      <c r="AE1074" s="55">
        <v>0</v>
      </c>
      <c r="AF1074" s="55">
        <v>0</v>
      </c>
      <c r="AG1074" s="55">
        <v>0</v>
      </c>
      <c r="AH1074" s="55">
        <v>0</v>
      </c>
      <c r="AI1074" s="55">
        <v>0</v>
      </c>
      <c r="AJ1074" s="55">
        <v>7753716</v>
      </c>
      <c r="AK1074" s="55">
        <v>0</v>
      </c>
      <c r="AL1074" s="55">
        <v>44933</v>
      </c>
      <c r="AM1074" s="55">
        <v>1957</v>
      </c>
      <c r="AN1074" s="55">
        <v>3587850</v>
      </c>
      <c r="AO1074" s="55">
        <v>5283900</v>
      </c>
      <c r="AQ1074" s="55">
        <v>39524168690000</v>
      </c>
      <c r="AR1074" s="55">
        <v>193586020000</v>
      </c>
      <c r="AS1074" s="55">
        <v>77401531000</v>
      </c>
      <c r="AT1074" s="55">
        <v>282674297000</v>
      </c>
      <c r="AU1074" s="55">
        <f t="shared" si="784"/>
        <v>72049113</v>
      </c>
      <c r="AV1074" s="99">
        <f t="shared" si="785"/>
        <v>36918766013.395996</v>
      </c>
    </row>
    <row r="1075" spans="1:48">
      <c r="A1075" s="92">
        <v>45245</v>
      </c>
      <c r="B1075" s="55">
        <v>250074360000</v>
      </c>
      <c r="C1075" s="55">
        <v>0</v>
      </c>
      <c r="D1075" s="55">
        <v>0</v>
      </c>
      <c r="E1075" s="55">
        <v>5961140000</v>
      </c>
      <c r="F1075" s="55">
        <v>256035500000</v>
      </c>
      <c r="G1075" s="55">
        <v>69129585</v>
      </c>
      <c r="H1075" s="55">
        <v>4607366000</v>
      </c>
      <c r="I1075" s="55">
        <v>0</v>
      </c>
      <c r="J1075" s="55">
        <v>4607366000</v>
      </c>
      <c r="L1075" s="55">
        <v>21999925000</v>
      </c>
      <c r="M1075" s="55">
        <v>10344000000</v>
      </c>
      <c r="N1075" s="55">
        <v>32343925000</v>
      </c>
      <c r="O1075" s="55">
        <v>7107235000</v>
      </c>
      <c r="P1075" s="55">
        <v>0</v>
      </c>
      <c r="Q1075" s="55">
        <v>7107235000</v>
      </c>
      <c r="R1075" s="55">
        <v>1420402000</v>
      </c>
      <c r="S1075" s="55">
        <v>0</v>
      </c>
      <c r="T1075" s="55">
        <v>1420402000</v>
      </c>
      <c r="U1075" s="55">
        <v>35075000</v>
      </c>
      <c r="V1075" s="55">
        <v>0</v>
      </c>
      <c r="W1075" s="55">
        <v>35075000</v>
      </c>
      <c r="X1075" s="55">
        <v>72047000</v>
      </c>
      <c r="Y1075" s="55">
        <v>0</v>
      </c>
      <c r="Z1075" s="55">
        <v>72047000</v>
      </c>
      <c r="AA1075" s="55">
        <v>206682000</v>
      </c>
      <c r="AB1075" s="55">
        <v>0</v>
      </c>
      <c r="AC1075" s="55">
        <v>206682000</v>
      </c>
      <c r="AD1075" s="55">
        <v>0</v>
      </c>
      <c r="AE1075" s="55">
        <v>0</v>
      </c>
      <c r="AF1075" s="55">
        <v>0</v>
      </c>
      <c r="AG1075" s="55">
        <v>0</v>
      </c>
      <c r="AH1075" s="55">
        <v>0</v>
      </c>
      <c r="AI1075" s="55">
        <v>0</v>
      </c>
      <c r="AJ1075" s="55">
        <v>5690383</v>
      </c>
      <c r="AK1075" s="55">
        <v>0</v>
      </c>
      <c r="AL1075" s="55">
        <v>44933</v>
      </c>
      <c r="AM1075" s="55">
        <v>2517</v>
      </c>
      <c r="AN1075" s="55">
        <v>8007000</v>
      </c>
      <c r="AO1075" s="55">
        <v>6795900</v>
      </c>
      <c r="AQ1075" s="55">
        <v>45004593980000</v>
      </c>
      <c r="AR1075" s="55">
        <v>155560464000</v>
      </c>
      <c r="AS1075" s="55">
        <v>56594232000</v>
      </c>
      <c r="AT1075" s="55">
        <v>312629732000</v>
      </c>
      <c r="AU1075" s="55">
        <f t="shared" si="784"/>
        <v>89622868</v>
      </c>
      <c r="AV1075" s="99">
        <f t="shared" si="785"/>
        <v>37008388881.395996</v>
      </c>
    </row>
    <row r="1076" spans="1:48">
      <c r="A1076" s="92">
        <v>45246</v>
      </c>
      <c r="B1076" s="55">
        <v>140174985000</v>
      </c>
      <c r="C1076" s="55">
        <v>0</v>
      </c>
      <c r="D1076" s="55">
        <v>0</v>
      </c>
      <c r="E1076" s="55">
        <v>0</v>
      </c>
      <c r="F1076" s="55">
        <v>140174985000</v>
      </c>
      <c r="G1076" s="55">
        <v>37847246</v>
      </c>
      <c r="H1076" s="55">
        <v>210086000</v>
      </c>
      <c r="I1076" s="55">
        <v>0</v>
      </c>
      <c r="J1076" s="55">
        <v>210086000</v>
      </c>
      <c r="L1076" s="55">
        <v>6673270000</v>
      </c>
      <c r="M1076" s="55">
        <v>0</v>
      </c>
      <c r="N1076" s="55">
        <v>6673270000</v>
      </c>
      <c r="O1076" s="55">
        <v>1073842000</v>
      </c>
      <c r="P1076" s="55">
        <v>0</v>
      </c>
      <c r="Q1076" s="55">
        <v>1073842000</v>
      </c>
      <c r="R1076" s="55">
        <v>1040895000</v>
      </c>
      <c r="S1076" s="55">
        <v>0</v>
      </c>
      <c r="T1076" s="55">
        <v>1040895000</v>
      </c>
      <c r="U1076" s="55">
        <v>52896000</v>
      </c>
      <c r="V1076" s="55">
        <v>0</v>
      </c>
      <c r="W1076" s="55">
        <v>52896000</v>
      </c>
      <c r="X1076" s="55">
        <v>2989000</v>
      </c>
      <c r="Y1076" s="55">
        <v>0</v>
      </c>
      <c r="Z1076" s="55">
        <v>2989000</v>
      </c>
      <c r="AA1076" s="55">
        <v>1324117000</v>
      </c>
      <c r="AB1076" s="55">
        <v>0</v>
      </c>
      <c r="AC1076" s="55">
        <v>1324117000</v>
      </c>
      <c r="AD1076" s="55">
        <v>0</v>
      </c>
      <c r="AE1076" s="55">
        <v>0</v>
      </c>
      <c r="AF1076" s="55">
        <v>0</v>
      </c>
      <c r="AG1076" s="55">
        <v>0</v>
      </c>
      <c r="AH1076" s="55">
        <v>0</v>
      </c>
      <c r="AI1076" s="55">
        <v>0</v>
      </c>
      <c r="AJ1076" s="55">
        <v>1120834</v>
      </c>
      <c r="AK1076" s="55">
        <v>0</v>
      </c>
      <c r="AL1076" s="55">
        <v>44933</v>
      </c>
      <c r="AM1076" s="55">
        <v>2554</v>
      </c>
      <c r="AN1076" s="55">
        <v>9322800</v>
      </c>
      <c r="AO1076" s="55">
        <v>6895800</v>
      </c>
      <c r="AQ1076" s="55">
        <v>35226498553600</v>
      </c>
      <c r="AR1076" s="55">
        <v>80568438000</v>
      </c>
      <c r="AS1076" s="55">
        <v>11859432000</v>
      </c>
      <c r="AT1076" s="55">
        <v>152034417000</v>
      </c>
      <c r="AU1076" s="55">
        <f t="shared" si="784"/>
        <v>55186680</v>
      </c>
      <c r="AV1076" s="99">
        <f t="shared" si="785"/>
        <v>37063575561.395996</v>
      </c>
    </row>
    <row r="1077" spans="1:48">
      <c r="A1077" s="92">
        <v>45247</v>
      </c>
      <c r="B1077" s="55">
        <v>255257381000</v>
      </c>
      <c r="C1077" s="55">
        <v>0</v>
      </c>
      <c r="D1077" s="55">
        <v>0</v>
      </c>
      <c r="E1077" s="55">
        <v>0</v>
      </c>
      <c r="F1077" s="55">
        <v>255257381000</v>
      </c>
      <c r="G1077" s="55">
        <v>68919493</v>
      </c>
      <c r="H1077" s="55">
        <v>6431440000</v>
      </c>
      <c r="I1077" s="55">
        <v>0</v>
      </c>
      <c r="J1077" s="55">
        <v>6431440000</v>
      </c>
      <c r="L1077" s="55">
        <v>14316829000</v>
      </c>
      <c r="M1077" s="55">
        <v>0</v>
      </c>
      <c r="N1077" s="55">
        <v>14316829000</v>
      </c>
      <c r="O1077" s="55">
        <v>3753964000</v>
      </c>
      <c r="P1077" s="55">
        <v>0</v>
      </c>
      <c r="Q1077" s="55">
        <v>3753964000</v>
      </c>
      <c r="R1077" s="55">
        <v>1294794000</v>
      </c>
      <c r="S1077" s="55">
        <v>0</v>
      </c>
      <c r="T1077" s="55">
        <v>1294794000</v>
      </c>
      <c r="U1077" s="55">
        <v>91402000</v>
      </c>
      <c r="V1077" s="55">
        <v>0</v>
      </c>
      <c r="W1077" s="55">
        <v>91402000</v>
      </c>
      <c r="X1077" s="55">
        <v>383647000</v>
      </c>
      <c r="Y1077" s="55">
        <v>0</v>
      </c>
      <c r="Z1077" s="55">
        <v>383647000</v>
      </c>
      <c r="AA1077" s="55">
        <v>4252068000</v>
      </c>
      <c r="AB1077" s="55">
        <v>0</v>
      </c>
      <c r="AC1077" s="55">
        <v>4252068000</v>
      </c>
      <c r="AD1077" s="55">
        <v>0</v>
      </c>
      <c r="AE1077" s="55">
        <v>0</v>
      </c>
      <c r="AF1077" s="55">
        <v>0</v>
      </c>
      <c r="AG1077" s="55">
        <v>0</v>
      </c>
      <c r="AH1077" s="55">
        <v>0</v>
      </c>
      <c r="AI1077" s="55">
        <v>0</v>
      </c>
      <c r="AJ1077" s="55">
        <v>3296608</v>
      </c>
      <c r="AK1077" s="55">
        <v>0</v>
      </c>
      <c r="AL1077" s="55">
        <v>44933</v>
      </c>
      <c r="AM1077" s="55">
        <v>2564</v>
      </c>
      <c r="AN1077" s="55">
        <v>18314100</v>
      </c>
      <c r="AO1077" s="55">
        <v>6922800</v>
      </c>
      <c r="AQ1077" s="55">
        <v>56303813772200</v>
      </c>
      <c r="AR1077" s="55">
        <v>258508932000</v>
      </c>
      <c r="AS1077" s="55">
        <v>58640290000</v>
      </c>
      <c r="AT1077" s="55">
        <v>313897671000</v>
      </c>
      <c r="AU1077" s="55">
        <f t="shared" si="784"/>
        <v>97453001</v>
      </c>
      <c r="AV1077" s="99">
        <f t="shared" si="785"/>
        <v>37161028562.395996</v>
      </c>
    </row>
    <row r="1078" spans="1:48">
      <c r="A1078" s="92">
        <v>45250</v>
      </c>
      <c r="B1078" s="55">
        <v>287901707000</v>
      </c>
      <c r="C1078" s="55">
        <v>0</v>
      </c>
      <c r="D1078" s="55">
        <v>0</v>
      </c>
      <c r="E1078" s="55">
        <v>0</v>
      </c>
      <c r="F1078" s="55">
        <v>287901707000</v>
      </c>
      <c r="G1078" s="55">
        <v>77733461</v>
      </c>
      <c r="H1078" s="55">
        <v>13162286000</v>
      </c>
      <c r="I1078" s="55">
        <v>14750450000</v>
      </c>
      <c r="J1078" s="55">
        <v>27912736000</v>
      </c>
      <c r="L1078" s="55">
        <v>8064488000</v>
      </c>
      <c r="M1078" s="55">
        <v>2538700000</v>
      </c>
      <c r="N1078" s="55">
        <v>10603188000</v>
      </c>
      <c r="O1078" s="55">
        <v>28991000</v>
      </c>
      <c r="P1078" s="55">
        <v>0</v>
      </c>
      <c r="Q1078" s="55">
        <v>28991000</v>
      </c>
      <c r="R1078" s="55">
        <v>1316414000</v>
      </c>
      <c r="S1078" s="55">
        <v>0</v>
      </c>
      <c r="T1078" s="55">
        <v>1316414000</v>
      </c>
      <c r="U1078" s="55">
        <v>148019000</v>
      </c>
      <c r="V1078" s="55">
        <v>0</v>
      </c>
      <c r="W1078" s="55">
        <v>148019000</v>
      </c>
      <c r="X1078" s="55">
        <v>240725000</v>
      </c>
      <c r="Y1078" s="55">
        <v>0</v>
      </c>
      <c r="Z1078" s="55">
        <v>240725000</v>
      </c>
      <c r="AA1078" s="55">
        <v>547931000</v>
      </c>
      <c r="AB1078" s="55">
        <v>0</v>
      </c>
      <c r="AC1078" s="55">
        <v>547931000</v>
      </c>
      <c r="AD1078" s="55">
        <v>3102000</v>
      </c>
      <c r="AE1078" s="55">
        <v>0</v>
      </c>
      <c r="AF1078" s="55">
        <v>3102000</v>
      </c>
      <c r="AG1078" s="55">
        <v>0</v>
      </c>
      <c r="AH1078" s="55">
        <v>0</v>
      </c>
      <c r="AI1078" s="55">
        <v>0</v>
      </c>
      <c r="AJ1078" s="55">
        <v>5651338</v>
      </c>
      <c r="AK1078" s="55">
        <v>0</v>
      </c>
      <c r="AL1078" s="55">
        <v>44933</v>
      </c>
      <c r="AM1078" s="55">
        <v>2806</v>
      </c>
      <c r="AN1078" s="55">
        <v>5406000</v>
      </c>
      <c r="AO1078" s="55">
        <v>7576200</v>
      </c>
      <c r="AQ1078" s="55">
        <v>38654194043600</v>
      </c>
      <c r="AR1078" s="55">
        <v>566354286000</v>
      </c>
      <c r="AS1078" s="55">
        <v>58534556000</v>
      </c>
      <c r="AT1078" s="55">
        <v>346436263000</v>
      </c>
      <c r="AU1078" s="55">
        <f t="shared" si="784"/>
        <v>96366999</v>
      </c>
      <c r="AV1078" s="99">
        <f t="shared" si="785"/>
        <v>37257395561.395996</v>
      </c>
    </row>
    <row r="1079" spans="1:48">
      <c r="A1079" s="92">
        <v>45251</v>
      </c>
      <c r="B1079" s="55">
        <v>124673160000</v>
      </c>
      <c r="C1079" s="55">
        <v>1950330000</v>
      </c>
      <c r="D1079" s="55">
        <v>0</v>
      </c>
      <c r="E1079" s="55">
        <v>0</v>
      </c>
      <c r="F1079" s="55">
        <v>126623490000</v>
      </c>
      <c r="G1079" s="55">
        <v>34188342</v>
      </c>
      <c r="H1079" s="55">
        <v>215811000</v>
      </c>
      <c r="I1079" s="55">
        <v>0</v>
      </c>
      <c r="J1079" s="55">
        <v>215811000</v>
      </c>
      <c r="L1079" s="55">
        <v>2457431000</v>
      </c>
      <c r="M1079" s="55">
        <v>0</v>
      </c>
      <c r="N1079" s="55">
        <v>2457431000</v>
      </c>
      <c r="O1079" s="55">
        <v>1549533000</v>
      </c>
      <c r="P1079" s="55">
        <v>0</v>
      </c>
      <c r="Q1079" s="55">
        <v>1549533000</v>
      </c>
      <c r="R1079" s="55">
        <v>1034096000</v>
      </c>
      <c r="S1079" s="55">
        <v>0</v>
      </c>
      <c r="T1079" s="55">
        <v>1034096000</v>
      </c>
      <c r="U1079" s="55">
        <v>41102000</v>
      </c>
      <c r="V1079" s="55">
        <v>0</v>
      </c>
      <c r="W1079" s="55">
        <v>41102000</v>
      </c>
      <c r="X1079" s="55">
        <v>1468000</v>
      </c>
      <c r="Y1079" s="55">
        <v>0</v>
      </c>
      <c r="Z1079" s="55">
        <v>1468000</v>
      </c>
      <c r="AA1079" s="55">
        <v>35575000</v>
      </c>
      <c r="AB1079" s="55">
        <v>0</v>
      </c>
      <c r="AC1079" s="55">
        <v>35575000</v>
      </c>
      <c r="AD1079" s="55">
        <v>2086000</v>
      </c>
      <c r="AE1079" s="55">
        <v>0</v>
      </c>
      <c r="AF1079" s="55">
        <v>2086000</v>
      </c>
      <c r="AG1079" s="55">
        <v>0</v>
      </c>
      <c r="AH1079" s="55">
        <v>0</v>
      </c>
      <c r="AI1079" s="55">
        <v>0</v>
      </c>
      <c r="AJ1079" s="55">
        <v>576407</v>
      </c>
      <c r="AK1079" s="55">
        <v>0</v>
      </c>
      <c r="AL1079" s="55">
        <v>44933</v>
      </c>
      <c r="AM1079" s="55">
        <v>1084</v>
      </c>
      <c r="AN1079" s="55">
        <v>5105100</v>
      </c>
      <c r="AO1079" s="55">
        <v>2926800</v>
      </c>
      <c r="AQ1079" s="55">
        <v>34681020208000</v>
      </c>
      <c r="AR1079" s="55">
        <v>193128252000</v>
      </c>
      <c r="AS1079" s="55">
        <v>5783202000</v>
      </c>
      <c r="AT1079" s="55">
        <v>132406692000</v>
      </c>
      <c r="AU1079" s="55">
        <f t="shared" si="784"/>
        <v>42796649</v>
      </c>
      <c r="AV1079" s="99">
        <f t="shared" si="785"/>
        <v>37300192210.395996</v>
      </c>
    </row>
    <row r="1080" spans="1:48">
      <c r="A1080" s="92">
        <v>45252</v>
      </c>
      <c r="B1080" s="55">
        <v>216769435000</v>
      </c>
      <c r="C1080" s="55">
        <v>0</v>
      </c>
      <c r="D1080" s="55">
        <v>0</v>
      </c>
      <c r="E1080" s="55">
        <v>0</v>
      </c>
      <c r="F1080" s="55">
        <v>216769435000</v>
      </c>
      <c r="G1080" s="55">
        <v>58527747</v>
      </c>
      <c r="H1080" s="55">
        <v>3743004000</v>
      </c>
      <c r="I1080" s="55">
        <v>3795400000</v>
      </c>
      <c r="J1080" s="55">
        <v>7538404000</v>
      </c>
      <c r="L1080" s="55">
        <v>13770335000</v>
      </c>
      <c r="M1080" s="55">
        <v>0</v>
      </c>
      <c r="N1080" s="55">
        <v>13770335000</v>
      </c>
      <c r="O1080" s="55">
        <v>7320000</v>
      </c>
      <c r="P1080" s="55">
        <v>0</v>
      </c>
      <c r="Q1080" s="55">
        <v>7320000</v>
      </c>
      <c r="R1080" s="55">
        <v>923460000</v>
      </c>
      <c r="S1080" s="55">
        <v>0</v>
      </c>
      <c r="T1080" s="55">
        <v>923460000</v>
      </c>
      <c r="U1080" s="55">
        <v>276031000</v>
      </c>
      <c r="V1080" s="55">
        <v>0</v>
      </c>
      <c r="W1080" s="55">
        <v>276031000</v>
      </c>
      <c r="X1080" s="55">
        <v>0</v>
      </c>
      <c r="Y1080" s="55">
        <v>0</v>
      </c>
      <c r="Z1080" s="55">
        <v>0</v>
      </c>
      <c r="AA1080" s="55">
        <v>314866000</v>
      </c>
      <c r="AB1080" s="55">
        <v>0</v>
      </c>
      <c r="AC1080" s="55">
        <v>314866000</v>
      </c>
      <c r="AD1080" s="55">
        <v>0</v>
      </c>
      <c r="AE1080" s="55">
        <v>0</v>
      </c>
      <c r="AF1080" s="55">
        <v>0</v>
      </c>
      <c r="AG1080" s="55">
        <v>0</v>
      </c>
      <c r="AH1080" s="55">
        <v>0</v>
      </c>
      <c r="AI1080" s="55">
        <v>0</v>
      </c>
      <c r="AJ1080" s="55">
        <v>2738954</v>
      </c>
      <c r="AK1080" s="55">
        <v>0</v>
      </c>
      <c r="AL1080" s="55">
        <v>44933</v>
      </c>
      <c r="AM1080" s="55">
        <v>2254</v>
      </c>
      <c r="AN1080" s="55">
        <v>5594700</v>
      </c>
      <c r="AO1080" s="55">
        <v>6085800</v>
      </c>
      <c r="AQ1080" s="55">
        <v>45677437784402</v>
      </c>
      <c r="AR1080" s="55">
        <v>115970042000</v>
      </c>
      <c r="AS1080" s="55">
        <v>26752008000</v>
      </c>
      <c r="AT1080" s="55">
        <v>243521443000</v>
      </c>
      <c r="AU1080" s="55">
        <f t="shared" si="784"/>
        <v>72947201</v>
      </c>
      <c r="AV1080" s="99">
        <f t="shared" si="785"/>
        <v>37373139411.395996</v>
      </c>
    </row>
    <row r="1081" spans="1:48">
      <c r="A1081" s="92">
        <v>45253</v>
      </c>
      <c r="B1081" s="55">
        <v>228317267000.07001</v>
      </c>
      <c r="C1081" s="55">
        <v>0</v>
      </c>
      <c r="D1081" s="55">
        <v>0</v>
      </c>
      <c r="E1081" s="55">
        <v>0</v>
      </c>
      <c r="F1081" s="55">
        <v>228317267000.07001</v>
      </c>
      <c r="G1081" s="55">
        <v>61645662</v>
      </c>
      <c r="H1081" s="55">
        <v>236864000</v>
      </c>
      <c r="I1081" s="55">
        <v>0</v>
      </c>
      <c r="J1081" s="55">
        <v>236864000</v>
      </c>
      <c r="L1081" s="55">
        <v>78202000</v>
      </c>
      <c r="M1081" s="55">
        <v>0</v>
      </c>
      <c r="N1081" s="55">
        <v>78202000</v>
      </c>
      <c r="O1081" s="55">
        <v>135505000</v>
      </c>
      <c r="P1081" s="55">
        <v>0</v>
      </c>
      <c r="Q1081" s="55">
        <v>135505000</v>
      </c>
      <c r="R1081" s="55">
        <v>761711000</v>
      </c>
      <c r="S1081" s="55">
        <v>0</v>
      </c>
      <c r="T1081" s="55">
        <v>761711000</v>
      </c>
      <c r="U1081" s="55">
        <v>298184000</v>
      </c>
      <c r="V1081" s="55">
        <v>0</v>
      </c>
      <c r="W1081" s="55">
        <v>298184000</v>
      </c>
      <c r="X1081" s="55">
        <v>149400000</v>
      </c>
      <c r="Y1081" s="55">
        <v>0</v>
      </c>
      <c r="Z1081" s="55">
        <v>149400000</v>
      </c>
      <c r="AA1081" s="55">
        <v>25416000</v>
      </c>
      <c r="AB1081" s="55">
        <v>0</v>
      </c>
      <c r="AC1081" s="55">
        <v>25416000</v>
      </c>
      <c r="AD1081" s="55">
        <v>0</v>
      </c>
      <c r="AE1081" s="55">
        <v>0</v>
      </c>
      <c r="AF1081" s="55">
        <v>0</v>
      </c>
      <c r="AG1081" s="55">
        <v>0</v>
      </c>
      <c r="AH1081" s="55">
        <v>0</v>
      </c>
      <c r="AI1081" s="55">
        <v>0</v>
      </c>
      <c r="AJ1081" s="55">
        <v>182010</v>
      </c>
      <c r="AK1081" s="55">
        <v>0</v>
      </c>
      <c r="AL1081" s="55">
        <v>44933</v>
      </c>
      <c r="AM1081" s="55">
        <v>1954</v>
      </c>
      <c r="AN1081" s="55">
        <v>4411500</v>
      </c>
      <c r="AO1081" s="55">
        <v>5275800</v>
      </c>
      <c r="AQ1081" s="55">
        <v>48169315637800</v>
      </c>
      <c r="AR1081" s="55">
        <v>193455898000</v>
      </c>
      <c r="AS1081" s="55">
        <v>2134082000</v>
      </c>
      <c r="AT1081" s="55">
        <v>230451349000.07001</v>
      </c>
      <c r="AU1081" s="55">
        <f t="shared" si="784"/>
        <v>71514972</v>
      </c>
      <c r="AV1081" s="99">
        <f t="shared" si="785"/>
        <v>37444654383.395996</v>
      </c>
    </row>
    <row r="1082" spans="1:48">
      <c r="A1082" s="92">
        <v>45254</v>
      </c>
      <c r="B1082" s="55">
        <v>109039622000</v>
      </c>
      <c r="C1082" s="55">
        <v>0</v>
      </c>
      <c r="D1082" s="55">
        <v>0</v>
      </c>
      <c r="E1082" s="55">
        <v>0</v>
      </c>
      <c r="F1082" s="55">
        <v>109039622000</v>
      </c>
      <c r="G1082" s="55">
        <v>29440698</v>
      </c>
      <c r="H1082" s="55">
        <v>1841679000</v>
      </c>
      <c r="I1082" s="55">
        <v>0</v>
      </c>
      <c r="J1082" s="55">
        <v>1841679000</v>
      </c>
      <c r="L1082" s="55">
        <v>2192945000</v>
      </c>
      <c r="M1082" s="55">
        <v>0</v>
      </c>
      <c r="N1082" s="55">
        <v>2192945000</v>
      </c>
      <c r="O1082" s="55">
        <v>9846157000</v>
      </c>
      <c r="P1082" s="55">
        <v>0</v>
      </c>
      <c r="Q1082" s="55">
        <v>9846157000</v>
      </c>
      <c r="R1082" s="55">
        <v>2352422000</v>
      </c>
      <c r="S1082" s="55">
        <v>0</v>
      </c>
      <c r="T1082" s="55">
        <v>2352422000</v>
      </c>
      <c r="U1082" s="55">
        <v>261723000</v>
      </c>
      <c r="V1082" s="55">
        <v>0</v>
      </c>
      <c r="W1082" s="55">
        <v>261723000</v>
      </c>
      <c r="X1082" s="55">
        <v>14209000</v>
      </c>
      <c r="Y1082" s="55">
        <v>0</v>
      </c>
      <c r="Z1082" s="55">
        <v>14209000</v>
      </c>
      <c r="AA1082" s="55">
        <v>2177630000</v>
      </c>
      <c r="AB1082" s="55">
        <v>0</v>
      </c>
      <c r="AC1082" s="55">
        <v>2177630000</v>
      </c>
      <c r="AD1082" s="55">
        <v>0</v>
      </c>
      <c r="AE1082" s="55">
        <v>0</v>
      </c>
      <c r="AF1082" s="55">
        <v>0</v>
      </c>
      <c r="AG1082" s="55">
        <v>0</v>
      </c>
      <c r="AH1082" s="55">
        <v>0</v>
      </c>
      <c r="AI1082" s="55">
        <v>0</v>
      </c>
      <c r="AJ1082" s="55">
        <v>2018171</v>
      </c>
      <c r="AK1082" s="55">
        <v>0</v>
      </c>
      <c r="AL1082" s="55">
        <v>44933</v>
      </c>
      <c r="AM1082" s="55">
        <v>1110</v>
      </c>
      <c r="AN1082" s="55">
        <v>18298800</v>
      </c>
      <c r="AO1082" s="55">
        <v>2997000</v>
      </c>
      <c r="AQ1082" s="55">
        <v>44219580366400</v>
      </c>
      <c r="AR1082" s="55">
        <v>105948554000</v>
      </c>
      <c r="AS1082" s="55">
        <v>28588365000</v>
      </c>
      <c r="AT1082" s="55">
        <v>137627987000</v>
      </c>
      <c r="AU1082" s="55">
        <f t="shared" si="784"/>
        <v>52754669</v>
      </c>
      <c r="AV1082" s="99">
        <f t="shared" si="785"/>
        <v>37497409052.395996</v>
      </c>
    </row>
    <row r="1083" spans="1:48">
      <c r="A1083" s="92">
        <v>45257</v>
      </c>
      <c r="B1083" s="55">
        <v>123631215000</v>
      </c>
      <c r="C1083" s="55">
        <v>0</v>
      </c>
      <c r="D1083" s="55">
        <v>0</v>
      </c>
      <c r="E1083" s="55">
        <v>0</v>
      </c>
      <c r="F1083" s="55">
        <v>123631215000</v>
      </c>
      <c r="G1083" s="55">
        <v>33380428</v>
      </c>
      <c r="H1083" s="55">
        <v>5854275000</v>
      </c>
      <c r="I1083" s="55">
        <v>3728800000</v>
      </c>
      <c r="J1083" s="55">
        <v>9583075000</v>
      </c>
      <c r="L1083" s="55">
        <v>17988347000</v>
      </c>
      <c r="M1083" s="55">
        <v>0</v>
      </c>
      <c r="N1083" s="55">
        <v>17988347000</v>
      </c>
      <c r="O1083" s="55">
        <v>10166589000</v>
      </c>
      <c r="P1083" s="55">
        <v>0</v>
      </c>
      <c r="Q1083" s="55">
        <v>10166589000</v>
      </c>
      <c r="R1083" s="55">
        <v>769965000</v>
      </c>
      <c r="S1083" s="55">
        <v>0</v>
      </c>
      <c r="T1083" s="55">
        <v>769965000</v>
      </c>
      <c r="U1083" s="55">
        <v>53487000</v>
      </c>
      <c r="V1083" s="55">
        <v>0</v>
      </c>
      <c r="W1083" s="55">
        <v>53487000</v>
      </c>
      <c r="X1083" s="55">
        <v>1421000</v>
      </c>
      <c r="Y1083" s="55">
        <v>0</v>
      </c>
      <c r="Z1083" s="55">
        <v>1421000</v>
      </c>
      <c r="AA1083" s="55">
        <v>497100000</v>
      </c>
      <c r="AB1083" s="55">
        <v>1749300000</v>
      </c>
      <c r="AC1083" s="55">
        <v>2246400000</v>
      </c>
      <c r="AD1083" s="55">
        <v>2030000</v>
      </c>
      <c r="AE1083" s="55">
        <v>0</v>
      </c>
      <c r="AF1083" s="55">
        <v>2030000</v>
      </c>
      <c r="AG1083" s="55">
        <v>0</v>
      </c>
      <c r="AH1083" s="55">
        <v>0</v>
      </c>
      <c r="AI1083" s="55">
        <v>0</v>
      </c>
      <c r="AJ1083" s="55">
        <v>4802045</v>
      </c>
      <c r="AK1083" s="55">
        <v>0</v>
      </c>
      <c r="AL1083" s="55">
        <v>44933</v>
      </c>
      <c r="AM1083" s="55">
        <v>1592</v>
      </c>
      <c r="AN1083" s="55">
        <v>6380100</v>
      </c>
      <c r="AO1083" s="55">
        <v>4298400</v>
      </c>
      <c r="AQ1083" s="55">
        <v>26500445470000</v>
      </c>
      <c r="AR1083" s="55">
        <v>105880448000</v>
      </c>
      <c r="AS1083" s="55">
        <v>44540114000</v>
      </c>
      <c r="AT1083" s="55">
        <v>168171329000</v>
      </c>
      <c r="AU1083" s="55">
        <f t="shared" si="784"/>
        <v>48860973</v>
      </c>
      <c r="AV1083" s="99">
        <f t="shared" si="785"/>
        <v>37546270025.395996</v>
      </c>
    </row>
    <row r="1084" spans="1:48">
      <c r="A1084" s="92">
        <v>45258</v>
      </c>
      <c r="B1084" s="55">
        <v>205783543000</v>
      </c>
      <c r="C1084" s="55">
        <v>0</v>
      </c>
      <c r="D1084" s="55">
        <v>0</v>
      </c>
      <c r="E1084" s="55">
        <v>0</v>
      </c>
      <c r="F1084" s="55">
        <v>205783543000</v>
      </c>
      <c r="G1084" s="55">
        <v>55561557</v>
      </c>
      <c r="H1084" s="55">
        <v>1570014000</v>
      </c>
      <c r="I1084" s="55">
        <v>17388120000</v>
      </c>
      <c r="J1084" s="55">
        <v>18958134000</v>
      </c>
      <c r="L1084" s="55">
        <v>10553061000</v>
      </c>
      <c r="M1084" s="55">
        <v>2442800000</v>
      </c>
      <c r="N1084" s="55">
        <v>12995861000</v>
      </c>
      <c r="O1084" s="55">
        <v>2825378000</v>
      </c>
      <c r="P1084" s="55">
        <v>0</v>
      </c>
      <c r="Q1084" s="55">
        <v>2825378000</v>
      </c>
      <c r="R1084" s="55">
        <v>682745000</v>
      </c>
      <c r="S1084" s="55">
        <v>0</v>
      </c>
      <c r="T1084" s="55">
        <v>682745000</v>
      </c>
      <c r="U1084" s="55">
        <v>167952000</v>
      </c>
      <c r="V1084" s="55">
        <v>0</v>
      </c>
      <c r="W1084" s="55">
        <v>167952000</v>
      </c>
      <c r="X1084" s="55">
        <v>6372000</v>
      </c>
      <c r="Y1084" s="55">
        <v>0</v>
      </c>
      <c r="Z1084" s="55">
        <v>6372000</v>
      </c>
      <c r="AA1084" s="55">
        <v>25572000</v>
      </c>
      <c r="AB1084" s="55">
        <v>0</v>
      </c>
      <c r="AC1084" s="55">
        <v>25572000</v>
      </c>
      <c r="AD1084" s="55">
        <v>0</v>
      </c>
      <c r="AE1084" s="55">
        <v>0</v>
      </c>
      <c r="AF1084" s="55">
        <v>0</v>
      </c>
      <c r="AG1084" s="55">
        <v>0</v>
      </c>
      <c r="AH1084" s="55">
        <v>0</v>
      </c>
      <c r="AI1084" s="55">
        <v>0</v>
      </c>
      <c r="AJ1084" s="55">
        <v>5279324</v>
      </c>
      <c r="AK1084" s="55">
        <v>0</v>
      </c>
      <c r="AL1084" s="55">
        <v>44933</v>
      </c>
      <c r="AM1084" s="55">
        <v>2135</v>
      </c>
      <c r="AN1084" s="55">
        <v>8392050</v>
      </c>
      <c r="AO1084" s="55">
        <v>5764500</v>
      </c>
      <c r="AQ1084" s="55">
        <v>32310588008000</v>
      </c>
      <c r="AR1084" s="55">
        <v>105054488000</v>
      </c>
      <c r="AS1084" s="55">
        <v>55544321000</v>
      </c>
      <c r="AT1084" s="55">
        <v>266860849000</v>
      </c>
      <c r="AU1084" s="55">
        <f t="shared" si="784"/>
        <v>74997431</v>
      </c>
      <c r="AV1084" s="99">
        <f t="shared" si="785"/>
        <v>37621267456.395996</v>
      </c>
    </row>
    <row r="1085" spans="1:48">
      <c r="A1085" s="92">
        <v>45259</v>
      </c>
      <c r="B1085" s="55">
        <v>94910326000</v>
      </c>
      <c r="C1085" s="55">
        <v>0</v>
      </c>
      <c r="D1085" s="55">
        <v>0</v>
      </c>
      <c r="E1085" s="55">
        <v>0</v>
      </c>
      <c r="F1085" s="55">
        <v>94910326000</v>
      </c>
      <c r="G1085" s="55">
        <v>25625788</v>
      </c>
      <c r="H1085" s="55">
        <v>1142455000</v>
      </c>
      <c r="I1085" s="55">
        <v>0</v>
      </c>
      <c r="J1085" s="55">
        <v>1142455000</v>
      </c>
      <c r="L1085" s="55">
        <v>17823361000</v>
      </c>
      <c r="M1085" s="55">
        <v>2486900000</v>
      </c>
      <c r="N1085" s="55">
        <v>20310261000</v>
      </c>
      <c r="O1085" s="55">
        <v>8400840000</v>
      </c>
      <c r="P1085" s="55">
        <v>0</v>
      </c>
      <c r="Q1085" s="55">
        <v>8400840000</v>
      </c>
      <c r="R1085" s="55">
        <v>589005000</v>
      </c>
      <c r="S1085" s="55">
        <v>0</v>
      </c>
      <c r="T1085" s="55">
        <v>589005000</v>
      </c>
      <c r="U1085" s="55">
        <v>9464000</v>
      </c>
      <c r="V1085" s="55">
        <v>0</v>
      </c>
      <c r="W1085" s="55">
        <v>9464000</v>
      </c>
      <c r="X1085" s="55">
        <v>1440000</v>
      </c>
      <c r="Y1085" s="55">
        <v>0</v>
      </c>
      <c r="Z1085" s="55">
        <v>1440000</v>
      </c>
      <c r="AA1085" s="55">
        <v>146290000</v>
      </c>
      <c r="AB1085" s="55">
        <v>0</v>
      </c>
      <c r="AC1085" s="55">
        <v>146290000</v>
      </c>
      <c r="AD1085" s="55">
        <v>1028000</v>
      </c>
      <c r="AE1085" s="55">
        <v>0</v>
      </c>
      <c r="AF1085" s="55">
        <v>1028000</v>
      </c>
      <c r="AG1085" s="55">
        <v>0</v>
      </c>
      <c r="AH1085" s="55">
        <v>0</v>
      </c>
      <c r="AI1085" s="55">
        <v>0</v>
      </c>
      <c r="AJ1085" s="55">
        <v>3483941</v>
      </c>
      <c r="AK1085" s="55">
        <v>0</v>
      </c>
      <c r="AL1085" s="55">
        <v>44933</v>
      </c>
      <c r="AM1085" s="55">
        <v>844</v>
      </c>
      <c r="AN1085" s="55">
        <v>8096250</v>
      </c>
      <c r="AO1085" s="55">
        <v>2278800</v>
      </c>
      <c r="AQ1085" s="55">
        <v>29354523963000</v>
      </c>
      <c r="AR1085" s="55">
        <v>326844402000</v>
      </c>
      <c r="AS1085" s="55">
        <v>33087683000</v>
      </c>
      <c r="AT1085" s="55">
        <v>128258314000</v>
      </c>
      <c r="AU1085" s="55">
        <f t="shared" si="784"/>
        <v>39484779</v>
      </c>
      <c r="AV1085" s="99">
        <f t="shared" si="785"/>
        <v>37660752235.395996</v>
      </c>
    </row>
    <row r="1086" spans="1:48">
      <c r="A1086" s="92">
        <v>45260</v>
      </c>
      <c r="B1086" s="55">
        <v>115445801000</v>
      </c>
      <c r="C1086" s="55">
        <v>0</v>
      </c>
      <c r="D1086" s="55">
        <v>0</v>
      </c>
      <c r="E1086" s="55">
        <v>0</v>
      </c>
      <c r="F1086" s="55">
        <v>115445801000</v>
      </c>
      <c r="G1086" s="55">
        <v>31170366</v>
      </c>
      <c r="H1086" s="55">
        <v>2584036000</v>
      </c>
      <c r="I1086" s="55">
        <v>0</v>
      </c>
      <c r="J1086" s="55">
        <v>2584036000</v>
      </c>
      <c r="L1086" s="55">
        <v>23250497000</v>
      </c>
      <c r="M1086" s="55">
        <v>0</v>
      </c>
      <c r="N1086" s="55">
        <v>23250497000</v>
      </c>
      <c r="O1086" s="55">
        <v>217532000</v>
      </c>
      <c r="P1086" s="55">
        <v>0</v>
      </c>
      <c r="Q1086" s="55">
        <v>217532000</v>
      </c>
      <c r="R1086" s="55">
        <v>754968000</v>
      </c>
      <c r="S1086" s="55">
        <v>0</v>
      </c>
      <c r="T1086" s="55">
        <v>754968000</v>
      </c>
      <c r="U1086" s="55">
        <v>35131000</v>
      </c>
      <c r="V1086" s="55">
        <v>0</v>
      </c>
      <c r="W1086" s="55">
        <v>35131000</v>
      </c>
      <c r="X1086" s="55">
        <v>2145000</v>
      </c>
      <c r="Y1086" s="55">
        <v>0</v>
      </c>
      <c r="Z1086" s="55">
        <v>2145000</v>
      </c>
      <c r="AA1086" s="55">
        <v>218301000</v>
      </c>
      <c r="AB1086" s="55">
        <v>0</v>
      </c>
      <c r="AC1086" s="55">
        <v>218301000</v>
      </c>
      <c r="AD1086" s="55">
        <v>1024000</v>
      </c>
      <c r="AE1086" s="55">
        <v>0</v>
      </c>
      <c r="AF1086" s="55">
        <v>1024000</v>
      </c>
      <c r="AG1086" s="55">
        <v>0</v>
      </c>
      <c r="AH1086" s="55">
        <v>0</v>
      </c>
      <c r="AI1086" s="55">
        <v>0</v>
      </c>
      <c r="AJ1086" s="55">
        <v>2922872</v>
      </c>
      <c r="AK1086" s="55">
        <v>0</v>
      </c>
      <c r="AL1086" s="55">
        <v>44933</v>
      </c>
      <c r="AM1086" s="55">
        <v>1457</v>
      </c>
      <c r="AN1086" s="55">
        <v>5997600</v>
      </c>
      <c r="AO1086" s="55">
        <v>3933900</v>
      </c>
      <c r="AP1086" s="55">
        <v>93717714</v>
      </c>
      <c r="AQ1086" s="55">
        <v>34120572300630</v>
      </c>
      <c r="AR1086" s="55">
        <v>348306746000</v>
      </c>
      <c r="AS1086" s="55">
        <v>82317634000</v>
      </c>
      <c r="AT1086" s="55">
        <v>197763435000</v>
      </c>
      <c r="AU1086" s="55">
        <f t="shared" si="784"/>
        <v>137742452</v>
      </c>
      <c r="AV1086" s="99">
        <f t="shared" si="785"/>
        <v>37798494687.395996</v>
      </c>
    </row>
    <row r="1087" spans="1:48">
      <c r="A1087" s="92">
        <v>45261</v>
      </c>
      <c r="B1087" s="55">
        <v>143790521000</v>
      </c>
      <c r="C1087" s="55">
        <v>0</v>
      </c>
      <c r="D1087" s="55">
        <v>0</v>
      </c>
      <c r="E1087" s="55">
        <v>0</v>
      </c>
      <c r="F1087" s="55">
        <v>143790521000</v>
      </c>
      <c r="G1087" s="55">
        <v>38823441</v>
      </c>
      <c r="H1087" s="55">
        <v>7219071000</v>
      </c>
      <c r="I1087" s="55">
        <v>0</v>
      </c>
      <c r="J1087" s="55">
        <v>7219071000</v>
      </c>
      <c r="L1087" s="55">
        <v>9448664000</v>
      </c>
      <c r="M1087" s="55">
        <v>0</v>
      </c>
      <c r="N1087" s="55">
        <v>9448664000</v>
      </c>
      <c r="O1087" s="55">
        <v>2880631000</v>
      </c>
      <c r="P1087" s="55">
        <v>0</v>
      </c>
      <c r="Q1087" s="55">
        <v>2880631000</v>
      </c>
      <c r="R1087" s="55">
        <v>1036414000</v>
      </c>
      <c r="S1087" s="55">
        <v>0</v>
      </c>
      <c r="T1087" s="55">
        <v>1036414000</v>
      </c>
      <c r="U1087" s="55">
        <v>299071000</v>
      </c>
      <c r="V1087" s="55">
        <v>0</v>
      </c>
      <c r="W1087" s="55">
        <v>299071000</v>
      </c>
      <c r="X1087" s="55">
        <v>27213000</v>
      </c>
      <c r="Y1087" s="55">
        <v>0</v>
      </c>
      <c r="Z1087" s="55">
        <v>27213000</v>
      </c>
      <c r="AA1087" s="55">
        <v>2275224000</v>
      </c>
      <c r="AB1087" s="55">
        <v>0</v>
      </c>
      <c r="AC1087" s="55">
        <v>2275224000</v>
      </c>
      <c r="AD1087" s="55">
        <v>3046000</v>
      </c>
      <c r="AE1087" s="55">
        <v>0</v>
      </c>
      <c r="AF1087" s="55">
        <v>3046000</v>
      </c>
      <c r="AG1087" s="55">
        <v>0</v>
      </c>
      <c r="AH1087" s="55">
        <v>0</v>
      </c>
      <c r="AI1087" s="55">
        <v>0</v>
      </c>
      <c r="AJ1087" s="55">
        <v>2504448</v>
      </c>
      <c r="AK1087" s="55">
        <v>0</v>
      </c>
      <c r="AL1087" s="55">
        <v>44933</v>
      </c>
      <c r="AM1087" s="55">
        <v>1751</v>
      </c>
      <c r="AN1087" s="55">
        <v>18688950</v>
      </c>
      <c r="AO1087" s="55">
        <v>4727700</v>
      </c>
      <c r="AQ1087" s="55">
        <v>28084217700600</v>
      </c>
      <c r="AR1087" s="55">
        <v>163868906000</v>
      </c>
      <c r="AS1087" s="55">
        <v>48850888000</v>
      </c>
      <c r="AT1087" s="55">
        <v>192644455000</v>
      </c>
      <c r="AU1087" s="55">
        <f t="shared" ref="AU1087:AU1091" si="786">G1087+AJ1087+AK1087+AN1087+AO1087+AP1087</f>
        <v>64744539</v>
      </c>
      <c r="AV1087" s="99">
        <f t="shared" ref="AV1087:AV1091" si="787">AV1086+AU1087</f>
        <v>37863239226.395996</v>
      </c>
    </row>
    <row r="1088" spans="1:48">
      <c r="A1088" s="92">
        <v>45264</v>
      </c>
      <c r="B1088" s="55">
        <v>235765839000</v>
      </c>
      <c r="C1088" s="55">
        <v>0</v>
      </c>
      <c r="D1088" s="55">
        <v>0</v>
      </c>
      <c r="E1088" s="55">
        <v>0</v>
      </c>
      <c r="F1088" s="55">
        <v>235765839000</v>
      </c>
      <c r="G1088" s="55">
        <v>63656777</v>
      </c>
      <c r="H1088" s="55">
        <v>1088249000</v>
      </c>
      <c r="I1088" s="55">
        <v>0</v>
      </c>
      <c r="J1088" s="55">
        <v>1088249000</v>
      </c>
      <c r="L1088" s="55">
        <v>40745683000</v>
      </c>
      <c r="M1088" s="55">
        <v>0</v>
      </c>
      <c r="N1088" s="55">
        <v>40745683000</v>
      </c>
      <c r="O1088" s="55">
        <v>2828976000</v>
      </c>
      <c r="P1088" s="55">
        <v>0</v>
      </c>
      <c r="Q1088" s="55">
        <v>2828976000</v>
      </c>
      <c r="R1088" s="55">
        <v>2772324000</v>
      </c>
      <c r="S1088" s="55">
        <v>0</v>
      </c>
      <c r="T1088" s="55">
        <v>2772324000</v>
      </c>
      <c r="U1088" s="55">
        <v>13654000</v>
      </c>
      <c r="V1088" s="55">
        <v>0</v>
      </c>
      <c r="W1088" s="55">
        <v>13654000</v>
      </c>
      <c r="X1088" s="55">
        <v>3655000</v>
      </c>
      <c r="Y1088" s="55">
        <v>0</v>
      </c>
      <c r="Z1088" s="55">
        <v>3655000</v>
      </c>
      <c r="AA1088" s="55">
        <v>632896000</v>
      </c>
      <c r="AB1088" s="55">
        <v>0</v>
      </c>
      <c r="AC1088" s="55">
        <v>632896000</v>
      </c>
      <c r="AD1088" s="55">
        <v>1034000</v>
      </c>
      <c r="AE1088" s="55">
        <v>0</v>
      </c>
      <c r="AF1088" s="55">
        <v>1034000</v>
      </c>
      <c r="AG1088" s="55">
        <v>0</v>
      </c>
      <c r="AH1088" s="55">
        <v>0</v>
      </c>
      <c r="AI1088" s="55">
        <v>0</v>
      </c>
      <c r="AJ1088" s="55">
        <v>5193339</v>
      </c>
      <c r="AK1088" s="55">
        <v>0</v>
      </c>
      <c r="AL1088" s="55">
        <v>44933</v>
      </c>
      <c r="AM1088" s="55">
        <v>2438</v>
      </c>
      <c r="AN1088" s="55">
        <v>9202950</v>
      </c>
      <c r="AO1088" s="55">
        <v>6582600</v>
      </c>
      <c r="AQ1088" s="55">
        <v>56392057697200</v>
      </c>
      <c r="AR1088" s="55">
        <v>282987784000</v>
      </c>
      <c r="AS1088" s="55">
        <v>76514427000</v>
      </c>
      <c r="AT1088" s="55">
        <v>312281300000</v>
      </c>
      <c r="AU1088" s="55">
        <f t="shared" si="786"/>
        <v>84635666</v>
      </c>
      <c r="AV1088" s="99">
        <f t="shared" si="787"/>
        <v>37947874892.395996</v>
      </c>
    </row>
    <row r="1089" spans="1:48">
      <c r="A1089" s="92">
        <v>45265</v>
      </c>
      <c r="B1089" s="55">
        <v>183659980000</v>
      </c>
      <c r="C1089" s="55">
        <v>1945050000</v>
      </c>
      <c r="D1089" s="55">
        <v>0</v>
      </c>
      <c r="E1089" s="55">
        <v>0</v>
      </c>
      <c r="F1089" s="55">
        <v>185605030000</v>
      </c>
      <c r="G1089" s="55">
        <v>50113358</v>
      </c>
      <c r="H1089" s="55">
        <v>499658000</v>
      </c>
      <c r="I1089" s="55">
        <v>0</v>
      </c>
      <c r="J1089" s="55">
        <v>499658000</v>
      </c>
      <c r="L1089" s="55">
        <v>12396629000</v>
      </c>
      <c r="M1089" s="55">
        <v>0</v>
      </c>
      <c r="N1089" s="55">
        <v>12396629000</v>
      </c>
      <c r="O1089" s="55">
        <v>18294861000</v>
      </c>
      <c r="P1089" s="55">
        <v>0</v>
      </c>
      <c r="Q1089" s="55">
        <v>18294861000</v>
      </c>
      <c r="R1089" s="55">
        <v>1391598000</v>
      </c>
      <c r="S1089" s="55">
        <v>0</v>
      </c>
      <c r="T1089" s="55">
        <v>1391598000</v>
      </c>
      <c r="U1089" s="55">
        <v>120793000</v>
      </c>
      <c r="V1089" s="55">
        <v>0</v>
      </c>
      <c r="W1089" s="55">
        <v>120793000</v>
      </c>
      <c r="X1089" s="55">
        <v>13069000</v>
      </c>
      <c r="Y1089" s="55">
        <v>0</v>
      </c>
      <c r="Z1089" s="55">
        <v>13069000</v>
      </c>
      <c r="AA1089" s="55">
        <v>23523000</v>
      </c>
      <c r="AB1089" s="55">
        <v>0</v>
      </c>
      <c r="AC1089" s="55">
        <v>23523000</v>
      </c>
      <c r="AD1089" s="55">
        <v>0</v>
      </c>
      <c r="AE1089" s="55">
        <v>0</v>
      </c>
      <c r="AF1089" s="55">
        <v>0</v>
      </c>
      <c r="AG1089" s="55">
        <v>0</v>
      </c>
      <c r="AH1089" s="55">
        <v>0</v>
      </c>
      <c r="AI1089" s="55">
        <v>0</v>
      </c>
      <c r="AJ1089" s="55">
        <v>3535934</v>
      </c>
      <c r="AK1089" s="55">
        <v>0</v>
      </c>
      <c r="AL1089" s="55">
        <v>44933</v>
      </c>
      <c r="AM1089" s="55">
        <v>2234</v>
      </c>
      <c r="AN1089" s="55">
        <v>6851850</v>
      </c>
      <c r="AO1089" s="55">
        <v>6031800</v>
      </c>
      <c r="AQ1089" s="55">
        <v>39668373508000</v>
      </c>
      <c r="AR1089" s="55">
        <v>448975228000</v>
      </c>
      <c r="AS1089" s="55">
        <v>44838226000</v>
      </c>
      <c r="AT1089" s="55">
        <v>230443256000</v>
      </c>
      <c r="AU1089" s="55">
        <f t="shared" si="786"/>
        <v>66532942</v>
      </c>
      <c r="AV1089" s="99">
        <f t="shared" si="787"/>
        <v>38014407834.395996</v>
      </c>
    </row>
    <row r="1090" spans="1:48">
      <c r="A1090" s="92">
        <v>45266</v>
      </c>
      <c r="B1090" s="55">
        <v>148477259000</v>
      </c>
      <c r="C1090" s="55">
        <v>0</v>
      </c>
      <c r="D1090" s="55">
        <v>0</v>
      </c>
      <c r="E1090" s="55">
        <v>0</v>
      </c>
      <c r="F1090" s="55">
        <v>148477259000</v>
      </c>
      <c r="G1090" s="55">
        <v>40088860</v>
      </c>
      <c r="H1090" s="55">
        <v>4777894000</v>
      </c>
      <c r="I1090" s="55">
        <v>0</v>
      </c>
      <c r="J1090" s="55">
        <v>4777894000</v>
      </c>
      <c r="L1090" s="55">
        <v>12346398000</v>
      </c>
      <c r="M1090" s="55">
        <v>0</v>
      </c>
      <c r="N1090" s="55">
        <v>12346398000</v>
      </c>
      <c r="O1090" s="55">
        <v>958263000</v>
      </c>
      <c r="P1090" s="55">
        <v>0</v>
      </c>
      <c r="Q1090" s="55">
        <v>958263000</v>
      </c>
      <c r="R1090" s="55">
        <v>1734240000</v>
      </c>
      <c r="S1090" s="55">
        <v>0</v>
      </c>
      <c r="T1090" s="55">
        <v>1734240000</v>
      </c>
      <c r="U1090" s="55">
        <v>1149393000</v>
      </c>
      <c r="V1090" s="55">
        <v>0</v>
      </c>
      <c r="W1090" s="55">
        <v>1149393000</v>
      </c>
      <c r="X1090" s="55">
        <v>72630000</v>
      </c>
      <c r="Y1090" s="55">
        <v>0</v>
      </c>
      <c r="Z1090" s="55">
        <v>72630000</v>
      </c>
      <c r="AA1090" s="55">
        <v>186113000</v>
      </c>
      <c r="AB1090" s="55">
        <v>0</v>
      </c>
      <c r="AC1090" s="55">
        <v>186113000</v>
      </c>
      <c r="AD1090" s="55">
        <v>1029000</v>
      </c>
      <c r="AE1090" s="55">
        <v>0</v>
      </c>
      <c r="AF1090" s="55">
        <v>1029000</v>
      </c>
      <c r="AG1090" s="55">
        <v>0</v>
      </c>
      <c r="AH1090" s="55">
        <v>0</v>
      </c>
      <c r="AI1090" s="55">
        <v>0</v>
      </c>
      <c r="AJ1090" s="55">
        <v>2292404</v>
      </c>
      <c r="AK1090" s="55">
        <v>0</v>
      </c>
      <c r="AL1090" s="55">
        <v>44933</v>
      </c>
      <c r="AM1090" s="55">
        <v>1838</v>
      </c>
      <c r="AN1090" s="55">
        <v>9284550</v>
      </c>
      <c r="AO1090" s="55">
        <v>4962600</v>
      </c>
      <c r="AQ1090" s="55">
        <v>41124522384030</v>
      </c>
      <c r="AR1090" s="55">
        <v>217180138000</v>
      </c>
      <c r="AS1090" s="55">
        <v>33263211000</v>
      </c>
      <c r="AT1090" s="55">
        <v>181741499000</v>
      </c>
      <c r="AU1090" s="55">
        <f t="shared" si="786"/>
        <v>56628414</v>
      </c>
      <c r="AV1090" s="99">
        <f t="shared" si="787"/>
        <v>38071036248.395996</v>
      </c>
    </row>
    <row r="1091" spans="1:48">
      <c r="A1091" s="92">
        <v>45267</v>
      </c>
      <c r="B1091" s="55">
        <v>393525484000</v>
      </c>
      <c r="C1091" s="55">
        <v>0</v>
      </c>
      <c r="D1091" s="55">
        <v>4801130000</v>
      </c>
      <c r="E1091" s="55">
        <v>0</v>
      </c>
      <c r="F1091" s="55">
        <v>398326614000</v>
      </c>
      <c r="G1091" s="55">
        <v>107548186</v>
      </c>
      <c r="H1091" s="55">
        <v>7952353000</v>
      </c>
      <c r="I1091" s="55">
        <v>0</v>
      </c>
      <c r="J1091" s="55">
        <v>7952353000</v>
      </c>
      <c r="L1091" s="55">
        <v>32209885000</v>
      </c>
      <c r="M1091" s="55">
        <v>0</v>
      </c>
      <c r="N1091" s="55">
        <v>32209885000</v>
      </c>
      <c r="O1091" s="55">
        <v>21914503000</v>
      </c>
      <c r="P1091" s="55">
        <v>0</v>
      </c>
      <c r="Q1091" s="55">
        <v>21914503000</v>
      </c>
      <c r="R1091" s="55">
        <v>1124090000</v>
      </c>
      <c r="S1091" s="55">
        <v>0</v>
      </c>
      <c r="T1091" s="55">
        <v>1124090000</v>
      </c>
      <c r="U1091" s="55">
        <v>34185000</v>
      </c>
      <c r="V1091" s="55">
        <v>0</v>
      </c>
      <c r="W1091" s="55">
        <v>34185000</v>
      </c>
      <c r="X1091" s="55">
        <v>239097000</v>
      </c>
      <c r="Y1091" s="55">
        <v>0</v>
      </c>
      <c r="Z1091" s="55">
        <v>239097000</v>
      </c>
      <c r="AA1091" s="55">
        <v>2658832000</v>
      </c>
      <c r="AB1091" s="55">
        <v>0</v>
      </c>
      <c r="AC1091" s="55">
        <v>2658832000</v>
      </c>
      <c r="AD1091" s="55">
        <v>31200000</v>
      </c>
      <c r="AE1091" s="55">
        <v>0</v>
      </c>
      <c r="AF1091" s="55">
        <v>31200000</v>
      </c>
      <c r="AG1091" s="55">
        <v>0</v>
      </c>
      <c r="AH1091" s="55">
        <v>0</v>
      </c>
      <c r="AI1091" s="55">
        <v>0</v>
      </c>
      <c r="AJ1091" s="55">
        <v>7145728</v>
      </c>
      <c r="AK1091" s="55">
        <v>0</v>
      </c>
      <c r="AL1091" s="55">
        <v>44933</v>
      </c>
      <c r="AM1091" s="55">
        <v>4188</v>
      </c>
      <c r="AN1091" s="55">
        <v>7494450</v>
      </c>
      <c r="AO1091" s="55">
        <v>11307600</v>
      </c>
      <c r="AQ1091" s="55">
        <v>63673097145000</v>
      </c>
      <c r="AR1091" s="55">
        <v>378019744000</v>
      </c>
      <c r="AS1091" s="55">
        <v>124003145000</v>
      </c>
      <c r="AT1091" s="55">
        <v>522360959000</v>
      </c>
      <c r="AU1091" s="55">
        <f t="shared" si="786"/>
        <v>133495964</v>
      </c>
      <c r="AV1091" s="99">
        <f t="shared" si="787"/>
        <v>38204532212.395996</v>
      </c>
    </row>
    <row r="1092" spans="1:48">
      <c r="A1092" s="92">
        <v>45268</v>
      </c>
      <c r="B1092" s="55">
        <v>114405841000</v>
      </c>
      <c r="C1092" s="55">
        <v>13892625400</v>
      </c>
      <c r="D1092" s="55">
        <v>0</v>
      </c>
      <c r="E1092" s="55">
        <v>0</v>
      </c>
      <c r="F1092" s="55">
        <v>128298466400</v>
      </c>
      <c r="G1092" s="55">
        <v>34640586</v>
      </c>
      <c r="H1092" s="55">
        <v>1016300000</v>
      </c>
      <c r="I1092" s="55">
        <v>0</v>
      </c>
      <c r="J1092" s="55">
        <v>1016300000</v>
      </c>
      <c r="L1092" s="55">
        <v>4516779000</v>
      </c>
      <c r="M1092" s="55">
        <v>0</v>
      </c>
      <c r="N1092" s="55">
        <v>4516779000</v>
      </c>
      <c r="O1092" s="55">
        <v>778464000</v>
      </c>
      <c r="P1092" s="55">
        <v>0</v>
      </c>
      <c r="Q1092" s="55">
        <v>778464000</v>
      </c>
      <c r="R1092" s="55">
        <v>524100000</v>
      </c>
      <c r="S1092" s="55">
        <v>0</v>
      </c>
      <c r="T1092" s="55">
        <v>524100000</v>
      </c>
      <c r="U1092" s="55">
        <v>379049000</v>
      </c>
      <c r="V1092" s="55">
        <v>0</v>
      </c>
      <c r="W1092" s="55">
        <v>379049000</v>
      </c>
      <c r="X1092" s="55">
        <v>12473000</v>
      </c>
      <c r="Y1092" s="55">
        <v>0</v>
      </c>
      <c r="Z1092" s="55">
        <v>12473000</v>
      </c>
      <c r="AA1092" s="55">
        <v>393062000</v>
      </c>
      <c r="AB1092" s="55">
        <v>0</v>
      </c>
      <c r="AC1092" s="55">
        <v>393062000</v>
      </c>
      <c r="AD1092" s="55">
        <v>1050000</v>
      </c>
      <c r="AE1092" s="55">
        <v>0</v>
      </c>
      <c r="AF1092" s="55">
        <v>1050000</v>
      </c>
      <c r="AG1092" s="55">
        <v>0</v>
      </c>
      <c r="AH1092" s="55">
        <v>0</v>
      </c>
      <c r="AI1092" s="55">
        <v>0</v>
      </c>
      <c r="AJ1092" s="55">
        <v>823098</v>
      </c>
      <c r="AK1092" s="55">
        <v>0</v>
      </c>
      <c r="AL1092" s="55">
        <v>44933</v>
      </c>
      <c r="AM1092" s="55">
        <v>1530</v>
      </c>
      <c r="AN1092" s="55">
        <v>19453950</v>
      </c>
      <c r="AO1092" s="55">
        <v>4131000</v>
      </c>
      <c r="AQ1092" s="55">
        <v>40774387332000</v>
      </c>
      <c r="AR1092" s="55">
        <v>210211286000</v>
      </c>
      <c r="AS1092" s="55">
        <v>7750427000</v>
      </c>
      <c r="AT1092" s="55">
        <v>136049943400</v>
      </c>
      <c r="AU1092" s="55">
        <f t="shared" ref="AU1092:AU1107" si="788">G1092+AJ1092+AK1092+AN1092+AO1092+AP1092</f>
        <v>59048634</v>
      </c>
      <c r="AV1092" s="99">
        <f t="shared" ref="AV1092:AV1107" si="789">AV1091+AU1092</f>
        <v>38263580846.395996</v>
      </c>
    </row>
    <row r="1093" spans="1:48">
      <c r="A1093" s="92">
        <v>45271</v>
      </c>
      <c r="B1093" s="55">
        <v>139582732000</v>
      </c>
      <c r="C1093" s="55">
        <v>0</v>
      </c>
      <c r="D1093" s="55">
        <v>0</v>
      </c>
      <c r="E1093" s="55">
        <v>0</v>
      </c>
      <c r="F1093" s="55">
        <v>139582732000</v>
      </c>
      <c r="G1093" s="55">
        <v>37687338</v>
      </c>
      <c r="H1093" s="55">
        <v>342777000</v>
      </c>
      <c r="I1093" s="55">
        <v>0</v>
      </c>
      <c r="J1093" s="55">
        <v>342777000</v>
      </c>
      <c r="L1093" s="55">
        <v>10507447000</v>
      </c>
      <c r="M1093" s="55">
        <v>0</v>
      </c>
      <c r="N1093" s="55">
        <v>10507447000</v>
      </c>
      <c r="O1093" s="55">
        <v>905455000</v>
      </c>
      <c r="P1093" s="55">
        <v>0</v>
      </c>
      <c r="Q1093" s="55">
        <v>905455000</v>
      </c>
      <c r="R1093" s="55">
        <v>345348000</v>
      </c>
      <c r="S1093" s="55">
        <v>0</v>
      </c>
      <c r="T1093" s="55">
        <v>345348000</v>
      </c>
      <c r="U1093" s="55">
        <v>126644000</v>
      </c>
      <c r="V1093" s="55">
        <v>0</v>
      </c>
      <c r="W1093" s="55">
        <v>126644000</v>
      </c>
      <c r="X1093" s="55">
        <v>2929000</v>
      </c>
      <c r="Y1093" s="55">
        <v>0</v>
      </c>
      <c r="Z1093" s="55">
        <v>2929000</v>
      </c>
      <c r="AA1093" s="55">
        <v>142369000</v>
      </c>
      <c r="AB1093" s="55">
        <v>0</v>
      </c>
      <c r="AC1093" s="55">
        <v>142369000</v>
      </c>
      <c r="AD1093" s="55">
        <v>32270000</v>
      </c>
      <c r="AE1093" s="55">
        <v>0</v>
      </c>
      <c r="AF1093" s="55">
        <v>32270000</v>
      </c>
      <c r="AG1093" s="55">
        <v>0</v>
      </c>
      <c r="AH1093" s="55">
        <v>0</v>
      </c>
      <c r="AI1093" s="55">
        <v>0</v>
      </c>
      <c r="AJ1093" s="55">
        <v>1339766</v>
      </c>
      <c r="AK1093" s="55">
        <v>0</v>
      </c>
      <c r="AL1093" s="55">
        <v>44933</v>
      </c>
      <c r="AM1093" s="55">
        <v>1429</v>
      </c>
      <c r="AN1093" s="55">
        <v>5604900</v>
      </c>
      <c r="AO1093" s="55">
        <v>3858300</v>
      </c>
      <c r="AQ1093" s="55">
        <v>33374565507800</v>
      </c>
      <c r="AR1093" s="55">
        <v>284245898000</v>
      </c>
      <c r="AS1093" s="55">
        <v>19080381000</v>
      </c>
      <c r="AT1093" s="55">
        <v>158695383000</v>
      </c>
      <c r="AU1093" s="55">
        <f t="shared" si="788"/>
        <v>48490304</v>
      </c>
      <c r="AV1093" s="99">
        <f t="shared" si="789"/>
        <v>38312071150.395996</v>
      </c>
    </row>
    <row r="1094" spans="1:48">
      <c r="A1094" s="92">
        <v>45272</v>
      </c>
      <c r="B1094" s="55">
        <v>152308645000</v>
      </c>
      <c r="C1094" s="55">
        <v>0</v>
      </c>
      <c r="D1094" s="55">
        <v>0</v>
      </c>
      <c r="E1094" s="55">
        <v>0</v>
      </c>
      <c r="F1094" s="55">
        <v>152308645000</v>
      </c>
      <c r="G1094" s="55">
        <v>41123334</v>
      </c>
      <c r="H1094" s="55">
        <v>1529558000</v>
      </c>
      <c r="I1094" s="55">
        <v>0</v>
      </c>
      <c r="J1094" s="55">
        <v>1529558000</v>
      </c>
      <c r="L1094" s="55">
        <v>17960364000</v>
      </c>
      <c r="M1094" s="55">
        <v>0</v>
      </c>
      <c r="N1094" s="55">
        <v>17960364000</v>
      </c>
      <c r="O1094" s="55">
        <v>3658892000</v>
      </c>
      <c r="P1094" s="55">
        <v>0</v>
      </c>
      <c r="Q1094" s="55">
        <v>3658892000</v>
      </c>
      <c r="R1094" s="55">
        <v>454738000</v>
      </c>
      <c r="S1094" s="55">
        <v>0</v>
      </c>
      <c r="T1094" s="55">
        <v>454738000</v>
      </c>
      <c r="U1094" s="55">
        <v>201752000</v>
      </c>
      <c r="V1094" s="55">
        <v>0</v>
      </c>
      <c r="W1094" s="55">
        <v>201752000</v>
      </c>
      <c r="X1094" s="55">
        <v>9604000</v>
      </c>
      <c r="Y1094" s="55">
        <v>0</v>
      </c>
      <c r="Z1094" s="55">
        <v>9604000</v>
      </c>
      <c r="AA1094" s="55">
        <v>5320000</v>
      </c>
      <c r="AB1094" s="55">
        <v>0</v>
      </c>
      <c r="AC1094" s="55">
        <v>5320000</v>
      </c>
      <c r="AD1094" s="55">
        <v>1049000</v>
      </c>
      <c r="AE1094" s="55">
        <v>0</v>
      </c>
      <c r="AF1094" s="55">
        <v>1049000</v>
      </c>
      <c r="AG1094" s="55">
        <v>0</v>
      </c>
      <c r="AH1094" s="55">
        <v>0</v>
      </c>
      <c r="AI1094" s="55">
        <v>0</v>
      </c>
      <c r="AJ1094" s="55">
        <v>2572698</v>
      </c>
      <c r="AK1094" s="55">
        <v>0</v>
      </c>
      <c r="AL1094" s="55">
        <v>44933</v>
      </c>
      <c r="AM1094" s="55">
        <v>1826</v>
      </c>
      <c r="AN1094" s="55">
        <v>5620200</v>
      </c>
      <c r="AO1094" s="55">
        <v>4930200</v>
      </c>
      <c r="AQ1094" s="55">
        <v>31780838978400</v>
      </c>
      <c r="AR1094" s="55">
        <v>326586598000</v>
      </c>
      <c r="AS1094" s="55">
        <v>28216858000</v>
      </c>
      <c r="AT1094" s="55">
        <v>180526552000</v>
      </c>
      <c r="AU1094" s="55">
        <f t="shared" si="788"/>
        <v>54246432</v>
      </c>
      <c r="AV1094" s="99">
        <f t="shared" si="789"/>
        <v>38366317582.395996</v>
      </c>
    </row>
    <row r="1095" spans="1:48">
      <c r="A1095" s="92">
        <v>45273</v>
      </c>
      <c r="B1095" s="55">
        <v>81130843000</v>
      </c>
      <c r="C1095" s="55">
        <v>0</v>
      </c>
      <c r="D1095" s="55">
        <v>0</v>
      </c>
      <c r="E1095" s="55">
        <v>0</v>
      </c>
      <c r="F1095" s="55">
        <v>81130843000</v>
      </c>
      <c r="G1095" s="55">
        <v>21905328</v>
      </c>
      <c r="H1095" s="55">
        <v>451708000</v>
      </c>
      <c r="I1095" s="55">
        <v>0</v>
      </c>
      <c r="J1095" s="55">
        <v>451708000</v>
      </c>
      <c r="L1095" s="55">
        <v>17432909000</v>
      </c>
      <c r="M1095" s="55">
        <v>0</v>
      </c>
      <c r="N1095" s="55">
        <v>17432909000</v>
      </c>
      <c r="O1095" s="55">
        <v>12961790000</v>
      </c>
      <c r="P1095" s="55">
        <v>0</v>
      </c>
      <c r="Q1095" s="55">
        <v>12961790000</v>
      </c>
      <c r="R1095" s="55">
        <v>401277000</v>
      </c>
      <c r="S1095" s="55">
        <v>0</v>
      </c>
      <c r="T1095" s="55">
        <v>401277000</v>
      </c>
      <c r="U1095" s="55">
        <v>217271000</v>
      </c>
      <c r="V1095" s="55">
        <v>0</v>
      </c>
      <c r="W1095" s="55">
        <v>217271000</v>
      </c>
      <c r="X1095" s="55">
        <v>389650000</v>
      </c>
      <c r="Y1095" s="55">
        <v>0</v>
      </c>
      <c r="Z1095" s="55">
        <v>389650000</v>
      </c>
      <c r="AA1095" s="55">
        <v>5362819000</v>
      </c>
      <c r="AB1095" s="55">
        <v>0</v>
      </c>
      <c r="AC1095" s="55">
        <v>5362819000</v>
      </c>
      <c r="AD1095" s="55">
        <v>1044000</v>
      </c>
      <c r="AE1095" s="55">
        <v>0</v>
      </c>
      <c r="AF1095" s="55">
        <v>1044000</v>
      </c>
      <c r="AG1095" s="55">
        <v>0</v>
      </c>
      <c r="AH1095" s="55">
        <v>0</v>
      </c>
      <c r="AI1095" s="55">
        <v>0</v>
      </c>
      <c r="AJ1095" s="55">
        <v>4019595</v>
      </c>
      <c r="AK1095" s="55">
        <v>0</v>
      </c>
      <c r="AL1095" s="55">
        <v>44933</v>
      </c>
      <c r="AM1095" s="55">
        <v>1015</v>
      </c>
      <c r="AN1095" s="55">
        <v>6612150</v>
      </c>
      <c r="AO1095" s="55">
        <v>2740500</v>
      </c>
      <c r="AQ1095" s="55">
        <v>42784423658400</v>
      </c>
      <c r="AR1095" s="55">
        <v>516446674000</v>
      </c>
      <c r="AS1095" s="55">
        <v>74673184000</v>
      </c>
      <c r="AT1095" s="55">
        <v>155805071000</v>
      </c>
      <c r="AU1095" s="55">
        <f t="shared" si="788"/>
        <v>35277573</v>
      </c>
      <c r="AV1095" s="99">
        <f t="shared" si="789"/>
        <v>38401595155.395996</v>
      </c>
    </row>
    <row r="1096" spans="1:48">
      <c r="A1096" s="92">
        <v>45274</v>
      </c>
      <c r="B1096" s="55">
        <v>200079979000</v>
      </c>
      <c r="C1096" s="55">
        <v>26771100700</v>
      </c>
      <c r="D1096" s="55">
        <v>0</v>
      </c>
      <c r="E1096" s="55">
        <v>0</v>
      </c>
      <c r="F1096" s="55">
        <v>226851079700</v>
      </c>
      <c r="G1096" s="55">
        <v>61249792</v>
      </c>
      <c r="H1096" s="55">
        <v>407332000</v>
      </c>
      <c r="I1096" s="55">
        <v>0</v>
      </c>
      <c r="J1096" s="55">
        <v>407332000</v>
      </c>
      <c r="L1096" s="55">
        <v>23764114000</v>
      </c>
      <c r="M1096" s="55">
        <v>0</v>
      </c>
      <c r="N1096" s="55">
        <v>23764114000</v>
      </c>
      <c r="O1096" s="55">
        <v>3119055000</v>
      </c>
      <c r="P1096" s="55">
        <v>0</v>
      </c>
      <c r="Q1096" s="55">
        <v>3119055000</v>
      </c>
      <c r="R1096" s="55">
        <v>1236592000</v>
      </c>
      <c r="S1096" s="55">
        <v>0</v>
      </c>
      <c r="T1096" s="55">
        <v>1236592000</v>
      </c>
      <c r="U1096" s="55">
        <v>24705000</v>
      </c>
      <c r="V1096" s="55">
        <v>0</v>
      </c>
      <c r="W1096" s="55">
        <v>24705000</v>
      </c>
      <c r="X1096" s="55">
        <v>10243000</v>
      </c>
      <c r="Y1096" s="55">
        <v>0</v>
      </c>
      <c r="Z1096" s="55">
        <v>10243000</v>
      </c>
      <c r="AA1096" s="55">
        <v>8442000</v>
      </c>
      <c r="AB1096" s="55">
        <v>0</v>
      </c>
      <c r="AC1096" s="55">
        <v>8442000</v>
      </c>
      <c r="AD1096" s="55">
        <v>0</v>
      </c>
      <c r="AE1096" s="55">
        <v>0</v>
      </c>
      <c r="AF1096" s="55">
        <v>0</v>
      </c>
      <c r="AG1096" s="55">
        <v>0</v>
      </c>
      <c r="AH1096" s="55">
        <v>0</v>
      </c>
      <c r="AI1096" s="55">
        <v>0</v>
      </c>
      <c r="AJ1096" s="55">
        <v>3085612</v>
      </c>
      <c r="AK1096" s="55">
        <v>0</v>
      </c>
      <c r="AL1096" s="55">
        <v>44933</v>
      </c>
      <c r="AM1096" s="55">
        <v>2099</v>
      </c>
      <c r="AN1096" s="55">
        <v>10572300</v>
      </c>
      <c r="AO1096" s="55">
        <v>5667300</v>
      </c>
      <c r="AQ1096" s="55">
        <v>33837633233200</v>
      </c>
      <c r="AR1096" s="55">
        <v>525100920000</v>
      </c>
      <c r="AS1096" s="55">
        <v>38693158000</v>
      </c>
      <c r="AT1096" s="55">
        <v>265544237700</v>
      </c>
      <c r="AU1096" s="55">
        <f t="shared" si="788"/>
        <v>80575004</v>
      </c>
      <c r="AV1096" s="99">
        <f t="shared" si="789"/>
        <v>38482170159.395996</v>
      </c>
    </row>
    <row r="1097" spans="1:48">
      <c r="A1097" s="92">
        <v>45275</v>
      </c>
      <c r="B1097" s="55">
        <v>97188710000</v>
      </c>
      <c r="C1097" s="55">
        <v>0</v>
      </c>
      <c r="D1097" s="55">
        <v>0</v>
      </c>
      <c r="E1097" s="55">
        <v>0</v>
      </c>
      <c r="F1097" s="55">
        <v>97188710000</v>
      </c>
      <c r="G1097" s="55">
        <v>26240952</v>
      </c>
      <c r="H1097" s="55">
        <v>433947000</v>
      </c>
      <c r="I1097" s="55">
        <v>0</v>
      </c>
      <c r="J1097" s="55">
        <v>433947000</v>
      </c>
      <c r="L1097" s="55">
        <v>60769847000</v>
      </c>
      <c r="M1097" s="55">
        <v>0</v>
      </c>
      <c r="N1097" s="55">
        <v>60769847000</v>
      </c>
      <c r="O1097" s="55">
        <v>7923271000</v>
      </c>
      <c r="P1097" s="55">
        <v>0</v>
      </c>
      <c r="Q1097" s="55">
        <v>7923271000</v>
      </c>
      <c r="R1097" s="55">
        <v>986239000</v>
      </c>
      <c r="S1097" s="55">
        <v>0</v>
      </c>
      <c r="T1097" s="55">
        <v>986239000</v>
      </c>
      <c r="U1097" s="55">
        <v>88600000</v>
      </c>
      <c r="V1097" s="55">
        <v>0</v>
      </c>
      <c r="W1097" s="55">
        <v>88600000</v>
      </c>
      <c r="X1097" s="55">
        <v>2920000</v>
      </c>
      <c r="Y1097" s="55">
        <v>0</v>
      </c>
      <c r="Z1097" s="55">
        <v>2920000</v>
      </c>
      <c r="AA1097" s="55">
        <v>164626000</v>
      </c>
      <c r="AB1097" s="55">
        <v>0</v>
      </c>
      <c r="AC1097" s="55">
        <v>164626000</v>
      </c>
      <c r="AD1097" s="55">
        <v>0</v>
      </c>
      <c r="AE1097" s="55">
        <v>0</v>
      </c>
      <c r="AF1097" s="55">
        <v>0</v>
      </c>
      <c r="AG1097" s="55">
        <v>0</v>
      </c>
      <c r="AH1097" s="55">
        <v>0</v>
      </c>
      <c r="AI1097" s="55">
        <v>0</v>
      </c>
      <c r="AJ1097" s="55">
        <v>7599901</v>
      </c>
      <c r="AK1097" s="55">
        <v>0</v>
      </c>
      <c r="AL1097" s="55">
        <v>44933</v>
      </c>
      <c r="AM1097" s="55">
        <v>1459</v>
      </c>
      <c r="AN1097" s="55">
        <v>33468750</v>
      </c>
      <c r="AO1097" s="55">
        <v>3939300</v>
      </c>
      <c r="AQ1097" s="55">
        <v>35820276978400</v>
      </c>
      <c r="AR1097" s="55">
        <v>665343916000</v>
      </c>
      <c r="AS1097" s="55">
        <v>154444158000</v>
      </c>
      <c r="AT1097" s="55">
        <v>251632868000</v>
      </c>
      <c r="AU1097" s="55">
        <f t="shared" si="788"/>
        <v>71248903</v>
      </c>
      <c r="AV1097" s="99">
        <f t="shared" si="789"/>
        <v>38553419062.395996</v>
      </c>
    </row>
    <row r="1098" spans="1:48">
      <c r="A1098" s="92">
        <v>45278</v>
      </c>
      <c r="B1098" s="55">
        <v>133141938000</v>
      </c>
      <c r="C1098" s="55">
        <v>0</v>
      </c>
      <c r="D1098" s="55">
        <v>0</v>
      </c>
      <c r="E1098" s="55">
        <v>0</v>
      </c>
      <c r="F1098" s="55">
        <v>133141938000</v>
      </c>
      <c r="G1098" s="55">
        <v>35948323</v>
      </c>
      <c r="H1098" s="55">
        <v>7638247000</v>
      </c>
      <c r="I1098" s="55">
        <v>0</v>
      </c>
      <c r="J1098" s="55">
        <v>7638247000</v>
      </c>
      <c r="L1098" s="55">
        <v>10112344000</v>
      </c>
      <c r="M1098" s="55">
        <v>0</v>
      </c>
      <c r="N1098" s="55">
        <v>10112344000</v>
      </c>
      <c r="O1098" s="55">
        <v>2718671000</v>
      </c>
      <c r="P1098" s="55">
        <v>0</v>
      </c>
      <c r="Q1098" s="55">
        <v>2718671000</v>
      </c>
      <c r="R1098" s="55">
        <v>1106330000</v>
      </c>
      <c r="S1098" s="55">
        <v>0</v>
      </c>
      <c r="T1098" s="55">
        <v>1106330000</v>
      </c>
      <c r="U1098" s="55">
        <v>55430000</v>
      </c>
      <c r="V1098" s="55">
        <v>0</v>
      </c>
      <c r="W1098" s="55">
        <v>55430000</v>
      </c>
      <c r="X1098" s="55">
        <v>0</v>
      </c>
      <c r="Y1098" s="55">
        <v>0</v>
      </c>
      <c r="Z1098" s="55">
        <v>0</v>
      </c>
      <c r="AA1098" s="55">
        <v>149375000</v>
      </c>
      <c r="AB1098" s="55">
        <v>0</v>
      </c>
      <c r="AC1098" s="55">
        <v>149375000</v>
      </c>
      <c r="AD1098" s="55">
        <v>0</v>
      </c>
      <c r="AE1098" s="55">
        <v>0</v>
      </c>
      <c r="AF1098" s="55">
        <v>0</v>
      </c>
      <c r="AG1098" s="55">
        <v>0</v>
      </c>
      <c r="AH1098" s="55">
        <v>0</v>
      </c>
      <c r="AI1098" s="55">
        <v>0</v>
      </c>
      <c r="AJ1098" s="55">
        <v>2352283</v>
      </c>
      <c r="AK1098" s="55">
        <v>0</v>
      </c>
      <c r="AL1098" s="55">
        <v>44933</v>
      </c>
      <c r="AM1098" s="55">
        <v>3049</v>
      </c>
      <c r="AN1098" s="55">
        <v>11056800</v>
      </c>
      <c r="AO1098" s="55">
        <v>8232300</v>
      </c>
      <c r="AQ1098" s="55">
        <v>32872770392400</v>
      </c>
      <c r="AR1098" s="55">
        <v>677065666000</v>
      </c>
      <c r="AS1098" s="55">
        <v>162518397000</v>
      </c>
      <c r="AT1098" s="55">
        <v>295660335000</v>
      </c>
      <c r="AU1098" s="55">
        <f t="shared" si="788"/>
        <v>57589706</v>
      </c>
      <c r="AV1098" s="99">
        <f t="shared" si="789"/>
        <v>38611008768.395996</v>
      </c>
    </row>
    <row r="1099" spans="1:48">
      <c r="A1099" s="92">
        <v>45279</v>
      </c>
      <c r="B1099" s="55">
        <v>205873863000</v>
      </c>
      <c r="C1099" s="55">
        <v>0</v>
      </c>
      <c r="D1099" s="55">
        <v>0</v>
      </c>
      <c r="E1099" s="55">
        <v>4425860000</v>
      </c>
      <c r="F1099" s="55">
        <v>210299723000</v>
      </c>
      <c r="G1099" s="55">
        <v>56780925</v>
      </c>
      <c r="H1099" s="55">
        <v>2689546000</v>
      </c>
      <c r="I1099" s="55">
        <v>0</v>
      </c>
      <c r="J1099" s="55">
        <v>2689546000</v>
      </c>
      <c r="L1099" s="55">
        <v>30060747000</v>
      </c>
      <c r="M1099" s="55">
        <v>0</v>
      </c>
      <c r="N1099" s="55">
        <v>30060747000</v>
      </c>
      <c r="O1099" s="55">
        <v>3485417000</v>
      </c>
      <c r="P1099" s="55">
        <v>0</v>
      </c>
      <c r="Q1099" s="55">
        <v>3485417000</v>
      </c>
      <c r="R1099" s="55">
        <v>1260076000</v>
      </c>
      <c r="S1099" s="55">
        <v>0</v>
      </c>
      <c r="T1099" s="55">
        <v>1260076000</v>
      </c>
      <c r="U1099" s="55">
        <v>220586000</v>
      </c>
      <c r="V1099" s="55">
        <v>0</v>
      </c>
      <c r="W1099" s="55">
        <v>220586000</v>
      </c>
      <c r="X1099" s="55">
        <v>718000</v>
      </c>
      <c r="Y1099" s="55">
        <v>0</v>
      </c>
      <c r="Z1099" s="55">
        <v>718000</v>
      </c>
      <c r="AA1099" s="55">
        <v>129345000</v>
      </c>
      <c r="AB1099" s="55">
        <v>0</v>
      </c>
      <c r="AC1099" s="55">
        <v>129345000</v>
      </c>
      <c r="AD1099" s="55">
        <v>0</v>
      </c>
      <c r="AE1099" s="55">
        <v>0</v>
      </c>
      <c r="AF1099" s="55">
        <v>0</v>
      </c>
      <c r="AG1099" s="55">
        <v>0</v>
      </c>
      <c r="AH1099" s="55">
        <v>0</v>
      </c>
      <c r="AI1099" s="55">
        <v>0</v>
      </c>
      <c r="AJ1099" s="55">
        <v>4087415</v>
      </c>
      <c r="AK1099" s="55">
        <v>0</v>
      </c>
      <c r="AL1099" s="55">
        <v>44933</v>
      </c>
      <c r="AM1099" s="55">
        <v>4530</v>
      </c>
      <c r="AN1099" s="55">
        <v>11133300</v>
      </c>
      <c r="AO1099" s="55">
        <v>12231000</v>
      </c>
      <c r="AQ1099" s="55">
        <v>30181452286800</v>
      </c>
      <c r="AR1099" s="55">
        <v>614461546000</v>
      </c>
      <c r="AS1099" s="55">
        <v>119248815000</v>
      </c>
      <c r="AT1099" s="55">
        <v>329548538000</v>
      </c>
      <c r="AU1099" s="55">
        <f t="shared" si="788"/>
        <v>84232640</v>
      </c>
      <c r="AV1099" s="99">
        <f t="shared" si="789"/>
        <v>38695241408.395996</v>
      </c>
    </row>
    <row r="1100" spans="1:48">
      <c r="A1100" s="92">
        <v>45280</v>
      </c>
      <c r="B1100" s="55">
        <v>153518435000</v>
      </c>
      <c r="C1100" s="55">
        <v>13857865000</v>
      </c>
      <c r="D1100" s="55">
        <v>4639073200</v>
      </c>
      <c r="E1100" s="55">
        <v>1559685000</v>
      </c>
      <c r="F1100" s="55">
        <v>173575058200</v>
      </c>
      <c r="G1100" s="55">
        <v>46865266</v>
      </c>
      <c r="H1100" s="55">
        <v>1558781000</v>
      </c>
      <c r="I1100" s="55">
        <v>0</v>
      </c>
      <c r="J1100" s="55">
        <v>1558781000</v>
      </c>
      <c r="L1100" s="55">
        <v>20171175000</v>
      </c>
      <c r="M1100" s="55">
        <v>0</v>
      </c>
      <c r="N1100" s="55">
        <v>20171175000</v>
      </c>
      <c r="O1100" s="55">
        <v>67610000</v>
      </c>
      <c r="P1100" s="55">
        <v>0</v>
      </c>
      <c r="Q1100" s="55">
        <v>67610000</v>
      </c>
      <c r="R1100" s="55">
        <v>541894000</v>
      </c>
      <c r="S1100" s="55">
        <v>0</v>
      </c>
      <c r="T1100" s="55">
        <v>541894000</v>
      </c>
      <c r="U1100" s="55">
        <v>18922000</v>
      </c>
      <c r="V1100" s="55">
        <v>0</v>
      </c>
      <c r="W1100" s="55">
        <v>18922000</v>
      </c>
      <c r="X1100" s="55">
        <v>20972000</v>
      </c>
      <c r="Y1100" s="55">
        <v>0</v>
      </c>
      <c r="Z1100" s="55">
        <v>20972000</v>
      </c>
      <c r="AA1100" s="55">
        <v>6248000</v>
      </c>
      <c r="AB1100" s="55">
        <v>0</v>
      </c>
      <c r="AC1100" s="55">
        <v>6248000</v>
      </c>
      <c r="AD1100" s="55">
        <v>0</v>
      </c>
      <c r="AE1100" s="55">
        <v>0</v>
      </c>
      <c r="AF1100" s="55">
        <v>0</v>
      </c>
      <c r="AG1100" s="55">
        <v>0</v>
      </c>
      <c r="AH1100" s="55">
        <v>0</v>
      </c>
      <c r="AI1100" s="55">
        <v>0</v>
      </c>
      <c r="AJ1100" s="55">
        <v>2417645</v>
      </c>
      <c r="AK1100" s="55">
        <v>0</v>
      </c>
      <c r="AL1100" s="55">
        <v>44933</v>
      </c>
      <c r="AM1100" s="55">
        <v>3442</v>
      </c>
      <c r="AN1100" s="55">
        <v>9302400</v>
      </c>
      <c r="AO1100" s="55">
        <v>9293400</v>
      </c>
      <c r="AQ1100" s="55">
        <v>29690766512000</v>
      </c>
      <c r="AR1100" s="55">
        <v>362211352000</v>
      </c>
      <c r="AS1100" s="55">
        <v>91360402000</v>
      </c>
      <c r="AT1100" s="55">
        <v>264935460200</v>
      </c>
      <c r="AU1100" s="55">
        <f t="shared" si="788"/>
        <v>67878711</v>
      </c>
      <c r="AV1100" s="99">
        <f t="shared" si="789"/>
        <v>38763120119.395996</v>
      </c>
    </row>
    <row r="1101" spans="1:48">
      <c r="A1101" s="92">
        <v>45281</v>
      </c>
      <c r="B1101" s="55">
        <v>112393170000</v>
      </c>
      <c r="C1101" s="55">
        <v>0</v>
      </c>
      <c r="D1101" s="55">
        <v>0</v>
      </c>
      <c r="E1101" s="55">
        <v>0</v>
      </c>
      <c r="F1101" s="55">
        <v>112393170000</v>
      </c>
      <c r="G1101" s="55">
        <v>30346156</v>
      </c>
      <c r="H1101" s="55">
        <v>11305795000</v>
      </c>
      <c r="I1101" s="55">
        <v>0</v>
      </c>
      <c r="J1101" s="55">
        <v>11305795000</v>
      </c>
      <c r="L1101" s="55">
        <v>19128172000</v>
      </c>
      <c r="M1101" s="55">
        <v>0</v>
      </c>
      <c r="N1101" s="55">
        <v>19128172000</v>
      </c>
      <c r="O1101" s="55">
        <v>23218000</v>
      </c>
      <c r="P1101" s="55">
        <v>0</v>
      </c>
      <c r="Q1101" s="55">
        <v>23218000</v>
      </c>
      <c r="R1101" s="55">
        <v>206077000</v>
      </c>
      <c r="S1101" s="55">
        <v>0</v>
      </c>
      <c r="T1101" s="55">
        <v>206077000</v>
      </c>
      <c r="U1101" s="55">
        <v>20333000</v>
      </c>
      <c r="V1101" s="55">
        <v>0</v>
      </c>
      <c r="W1101" s="55">
        <v>20333000</v>
      </c>
      <c r="X1101" s="55">
        <v>723000</v>
      </c>
      <c r="Y1101" s="55">
        <v>0</v>
      </c>
      <c r="Z1101" s="55">
        <v>723000</v>
      </c>
      <c r="AA1101" s="55">
        <v>13669000</v>
      </c>
      <c r="AB1101" s="55">
        <v>0</v>
      </c>
      <c r="AC1101" s="55">
        <v>13669000</v>
      </c>
      <c r="AD1101" s="55">
        <v>4094000</v>
      </c>
      <c r="AE1101" s="55">
        <v>0</v>
      </c>
      <c r="AF1101" s="55">
        <v>4094000</v>
      </c>
      <c r="AG1101" s="55">
        <v>0</v>
      </c>
      <c r="AH1101" s="55">
        <v>0</v>
      </c>
      <c r="AI1101" s="55">
        <v>0</v>
      </c>
      <c r="AJ1101" s="55">
        <v>3315825</v>
      </c>
      <c r="AK1101" s="55">
        <v>0</v>
      </c>
      <c r="AL1101" s="55">
        <v>44933</v>
      </c>
      <c r="AM1101" s="55">
        <v>3888</v>
      </c>
      <c r="AN1101" s="55">
        <v>11464800</v>
      </c>
      <c r="AO1101" s="55">
        <v>10497600</v>
      </c>
      <c r="AQ1101" s="55">
        <v>25343695708600</v>
      </c>
      <c r="AR1101" s="55">
        <v>217097432000</v>
      </c>
      <c r="AS1101" s="55">
        <v>53414374000</v>
      </c>
      <c r="AT1101" s="55">
        <v>165811638000</v>
      </c>
      <c r="AU1101" s="55">
        <f t="shared" si="788"/>
        <v>55624381</v>
      </c>
      <c r="AV1101" s="99">
        <f t="shared" si="789"/>
        <v>38818744500.395996</v>
      </c>
    </row>
    <row r="1102" spans="1:48">
      <c r="A1102" s="92">
        <v>45282</v>
      </c>
      <c r="B1102" s="55">
        <v>355869368000</v>
      </c>
      <c r="C1102" s="55">
        <v>0</v>
      </c>
      <c r="D1102" s="55">
        <v>0</v>
      </c>
      <c r="E1102" s="55">
        <v>4478660000</v>
      </c>
      <c r="F1102" s="55">
        <v>360348028000</v>
      </c>
      <c r="G1102" s="55">
        <v>97293968</v>
      </c>
      <c r="H1102" s="55">
        <v>1410017000</v>
      </c>
      <c r="I1102" s="55">
        <v>0</v>
      </c>
      <c r="J1102" s="55">
        <v>1410017000</v>
      </c>
      <c r="L1102" s="55">
        <v>12267455000</v>
      </c>
      <c r="M1102" s="55">
        <v>0</v>
      </c>
      <c r="N1102" s="55">
        <v>12267455000</v>
      </c>
      <c r="O1102" s="55">
        <v>2873693000</v>
      </c>
      <c r="P1102" s="55">
        <v>0</v>
      </c>
      <c r="Q1102" s="55">
        <v>2873693000</v>
      </c>
      <c r="R1102" s="55">
        <v>708066000</v>
      </c>
      <c r="S1102" s="55">
        <v>0</v>
      </c>
      <c r="T1102" s="55">
        <v>708066000</v>
      </c>
      <c r="U1102" s="55">
        <v>17606000</v>
      </c>
      <c r="V1102" s="55">
        <v>0</v>
      </c>
      <c r="W1102" s="55">
        <v>17606000</v>
      </c>
      <c r="X1102" s="55">
        <v>46417000</v>
      </c>
      <c r="Y1102" s="55">
        <v>0</v>
      </c>
      <c r="Z1102" s="55">
        <v>46417000</v>
      </c>
      <c r="AA1102" s="55">
        <v>2230854000</v>
      </c>
      <c r="AB1102" s="55">
        <v>0</v>
      </c>
      <c r="AC1102" s="55">
        <v>2230854000</v>
      </c>
      <c r="AD1102" s="55">
        <v>0</v>
      </c>
      <c r="AE1102" s="55">
        <v>0</v>
      </c>
      <c r="AF1102" s="55">
        <v>0</v>
      </c>
      <c r="AG1102" s="55">
        <v>0</v>
      </c>
      <c r="AH1102" s="55">
        <v>0</v>
      </c>
      <c r="AI1102" s="55">
        <v>0</v>
      </c>
      <c r="AJ1102" s="55">
        <v>2111844</v>
      </c>
      <c r="AK1102" s="55">
        <v>0</v>
      </c>
      <c r="AL1102" s="55">
        <v>44933</v>
      </c>
      <c r="AM1102" s="55">
        <v>3809</v>
      </c>
      <c r="AN1102" s="55">
        <v>16608150</v>
      </c>
      <c r="AO1102" s="55">
        <v>10284300</v>
      </c>
      <c r="AQ1102" s="55">
        <v>29061118653600</v>
      </c>
      <c r="AR1102" s="55">
        <v>158323794000</v>
      </c>
      <c r="AS1102" s="55">
        <v>60820236000</v>
      </c>
      <c r="AT1102" s="55">
        <v>421168264000</v>
      </c>
      <c r="AU1102" s="55">
        <f t="shared" si="788"/>
        <v>126298262</v>
      </c>
      <c r="AV1102" s="99">
        <f t="shared" si="789"/>
        <v>38945042762.395996</v>
      </c>
    </row>
    <row r="1103" spans="1:48">
      <c r="A1103" s="92">
        <v>45285</v>
      </c>
      <c r="B1103" s="55">
        <v>138794878000</v>
      </c>
      <c r="C1103" s="55">
        <v>0</v>
      </c>
      <c r="D1103" s="55">
        <v>0</v>
      </c>
      <c r="E1103" s="55">
        <v>0</v>
      </c>
      <c r="F1103" s="55">
        <v>138794878000</v>
      </c>
      <c r="G1103" s="55">
        <v>37474617</v>
      </c>
      <c r="H1103" s="55">
        <v>10274691000</v>
      </c>
      <c r="I1103" s="55">
        <v>0</v>
      </c>
      <c r="J1103" s="55">
        <v>10274691000</v>
      </c>
      <c r="L1103" s="55">
        <v>22947003000</v>
      </c>
      <c r="M1103" s="55">
        <v>0</v>
      </c>
      <c r="N1103" s="55">
        <v>22947003000</v>
      </c>
      <c r="O1103" s="55">
        <v>449639000</v>
      </c>
      <c r="P1103" s="55">
        <v>0</v>
      </c>
      <c r="Q1103" s="55">
        <v>449639000</v>
      </c>
      <c r="R1103" s="55">
        <v>1268361000</v>
      </c>
      <c r="S1103" s="55">
        <v>0</v>
      </c>
      <c r="T1103" s="55">
        <v>1268361000</v>
      </c>
      <c r="U1103" s="55">
        <v>204499000</v>
      </c>
      <c r="V1103" s="55">
        <v>0</v>
      </c>
      <c r="W1103" s="55">
        <v>204499000</v>
      </c>
      <c r="X1103" s="55">
        <v>2904000</v>
      </c>
      <c r="Y1103" s="55">
        <v>0</v>
      </c>
      <c r="Z1103" s="55">
        <v>2904000</v>
      </c>
      <c r="AA1103" s="55">
        <v>270177000</v>
      </c>
      <c r="AB1103" s="55">
        <v>0</v>
      </c>
      <c r="AC1103" s="55">
        <v>270177000</v>
      </c>
      <c r="AD1103" s="55">
        <v>3103000</v>
      </c>
      <c r="AE1103" s="55">
        <v>0</v>
      </c>
      <c r="AF1103" s="55">
        <v>3103000</v>
      </c>
      <c r="AG1103" s="55">
        <v>0</v>
      </c>
      <c r="AH1103" s="55">
        <v>0</v>
      </c>
      <c r="AI1103" s="55">
        <v>0</v>
      </c>
      <c r="AJ1103" s="55">
        <v>3825401</v>
      </c>
      <c r="AK1103" s="55">
        <v>0</v>
      </c>
      <c r="AL1103" s="55">
        <v>44933</v>
      </c>
      <c r="AM1103" s="55">
        <v>1054</v>
      </c>
      <c r="AN1103" s="55">
        <v>8213550</v>
      </c>
      <c r="AO1103" s="55">
        <v>2845800</v>
      </c>
      <c r="AQ1103" s="55">
        <v>34016201681000</v>
      </c>
      <c r="AR1103" s="55">
        <v>258568510000</v>
      </c>
      <c r="AS1103" s="55">
        <v>102967474000</v>
      </c>
      <c r="AT1103" s="55">
        <v>241765455000</v>
      </c>
      <c r="AU1103" s="55">
        <f t="shared" si="788"/>
        <v>52359368</v>
      </c>
      <c r="AV1103" s="99">
        <f t="shared" si="789"/>
        <v>38997402130.395996</v>
      </c>
    </row>
    <row r="1104" spans="1:48">
      <c r="A1104" s="92">
        <v>45286</v>
      </c>
      <c r="B1104" s="55">
        <v>132195877000</v>
      </c>
      <c r="C1104" s="55">
        <v>0</v>
      </c>
      <c r="D1104" s="55">
        <v>0</v>
      </c>
      <c r="E1104" s="55">
        <v>0</v>
      </c>
      <c r="F1104" s="55">
        <v>132195877000</v>
      </c>
      <c r="G1104" s="55">
        <v>35692887</v>
      </c>
      <c r="H1104" s="55">
        <v>1687232000</v>
      </c>
      <c r="I1104" s="55">
        <v>0</v>
      </c>
      <c r="J1104" s="55">
        <v>1687232000</v>
      </c>
      <c r="L1104" s="55">
        <v>79194529000</v>
      </c>
      <c r="M1104" s="55">
        <v>0</v>
      </c>
      <c r="N1104" s="55">
        <v>79194529000</v>
      </c>
      <c r="O1104" s="55">
        <v>8703374000</v>
      </c>
      <c r="P1104" s="55">
        <v>0</v>
      </c>
      <c r="Q1104" s="55">
        <v>8703374000</v>
      </c>
      <c r="R1104" s="55">
        <v>64899000</v>
      </c>
      <c r="S1104" s="55">
        <v>0</v>
      </c>
      <c r="T1104" s="55">
        <v>64899000</v>
      </c>
      <c r="U1104" s="55">
        <v>78605000</v>
      </c>
      <c r="V1104" s="55">
        <v>0</v>
      </c>
      <c r="W1104" s="55">
        <v>78605000</v>
      </c>
      <c r="X1104" s="55">
        <v>2923000</v>
      </c>
      <c r="Y1104" s="55">
        <v>0</v>
      </c>
      <c r="Z1104" s="55">
        <v>2923000</v>
      </c>
      <c r="AA1104" s="55">
        <v>95716000</v>
      </c>
      <c r="AB1104" s="55">
        <v>0</v>
      </c>
      <c r="AC1104" s="55">
        <v>95716000</v>
      </c>
      <c r="AD1104" s="55">
        <v>0</v>
      </c>
      <c r="AE1104" s="55">
        <v>0</v>
      </c>
      <c r="AF1104" s="55">
        <v>0</v>
      </c>
      <c r="AG1104" s="55">
        <v>0</v>
      </c>
      <c r="AH1104" s="55">
        <v>0</v>
      </c>
      <c r="AI1104" s="55">
        <v>0</v>
      </c>
      <c r="AJ1104" s="55">
        <v>9701346</v>
      </c>
      <c r="AK1104" s="55">
        <v>0</v>
      </c>
      <c r="AL1104" s="55">
        <v>44933</v>
      </c>
      <c r="AM1104" s="55">
        <v>1797</v>
      </c>
      <c r="AN1104" s="55">
        <v>7430700</v>
      </c>
      <c r="AO1104" s="55">
        <v>4851900</v>
      </c>
      <c r="AQ1104" s="55">
        <v>34712734215000</v>
      </c>
      <c r="AR1104" s="55">
        <v>309761570000</v>
      </c>
      <c r="AS1104" s="55">
        <v>136066078000</v>
      </c>
      <c r="AT1104" s="55">
        <v>268261955000</v>
      </c>
      <c r="AU1104" s="55">
        <f t="shared" si="788"/>
        <v>57676833</v>
      </c>
      <c r="AV1104" s="99">
        <f t="shared" si="789"/>
        <v>39055078963.395996</v>
      </c>
    </row>
    <row r="1105" spans="1:48">
      <c r="A1105" s="92">
        <v>45287</v>
      </c>
      <c r="B1105" s="55">
        <v>27081585000</v>
      </c>
      <c r="C1105" s="55">
        <v>0</v>
      </c>
      <c r="D1105" s="55">
        <v>0</v>
      </c>
      <c r="E1105" s="55">
        <v>0</v>
      </c>
      <c r="F1105" s="55">
        <v>27081585000</v>
      </c>
      <c r="G1105" s="55">
        <v>7312028</v>
      </c>
      <c r="H1105" s="55">
        <v>3066406000</v>
      </c>
      <c r="I1105" s="55">
        <v>0</v>
      </c>
      <c r="J1105" s="55">
        <v>3066406000</v>
      </c>
      <c r="L1105" s="55">
        <v>24054212000</v>
      </c>
      <c r="M1105" s="55">
        <v>0</v>
      </c>
      <c r="N1105" s="55">
        <v>24054212000</v>
      </c>
      <c r="O1105" s="55">
        <v>233614000</v>
      </c>
      <c r="P1105" s="55">
        <v>0</v>
      </c>
      <c r="Q1105" s="55">
        <v>233614000</v>
      </c>
      <c r="R1105" s="55">
        <v>555238000</v>
      </c>
      <c r="S1105" s="55">
        <v>0</v>
      </c>
      <c r="T1105" s="55">
        <v>555238000</v>
      </c>
      <c r="U1105" s="55">
        <v>59605000</v>
      </c>
      <c r="V1105" s="55">
        <v>0</v>
      </c>
      <c r="W1105" s="55">
        <v>59605000</v>
      </c>
      <c r="X1105" s="55">
        <v>10318000</v>
      </c>
      <c r="Y1105" s="55">
        <v>0</v>
      </c>
      <c r="Z1105" s="55">
        <v>10318000</v>
      </c>
      <c r="AA1105" s="55">
        <v>13829000</v>
      </c>
      <c r="AB1105" s="55">
        <v>0</v>
      </c>
      <c r="AC1105" s="55">
        <v>13829000</v>
      </c>
      <c r="AD1105" s="55">
        <v>1037000</v>
      </c>
      <c r="AE1105" s="55">
        <v>0</v>
      </c>
      <c r="AF1105" s="55">
        <v>1037000</v>
      </c>
      <c r="AG1105" s="55">
        <v>0</v>
      </c>
      <c r="AH1105" s="55">
        <v>0</v>
      </c>
      <c r="AI1105" s="55">
        <v>0</v>
      </c>
      <c r="AJ1105" s="55">
        <v>3023380</v>
      </c>
      <c r="AK1105" s="55">
        <v>0</v>
      </c>
      <c r="AL1105" s="55">
        <v>44933</v>
      </c>
      <c r="AM1105" s="55">
        <v>233</v>
      </c>
      <c r="AN1105" s="55">
        <v>7963650</v>
      </c>
      <c r="AO1105" s="55">
        <v>629100</v>
      </c>
      <c r="AQ1105" s="55">
        <v>42854134966000</v>
      </c>
      <c r="AR1105" s="55">
        <v>169980424000</v>
      </c>
      <c r="AS1105" s="55">
        <v>100112881000</v>
      </c>
      <c r="AT1105" s="55">
        <v>127195503000</v>
      </c>
      <c r="AU1105" s="55">
        <f t="shared" si="788"/>
        <v>18928158</v>
      </c>
      <c r="AV1105" s="99">
        <f t="shared" si="789"/>
        <v>39074007121.395996</v>
      </c>
    </row>
    <row r="1106" spans="1:48">
      <c r="A1106" s="92">
        <v>45288</v>
      </c>
      <c r="B1106" s="55">
        <v>71604089000</v>
      </c>
      <c r="C1106" s="55">
        <v>9479098250</v>
      </c>
      <c r="D1106" s="55">
        <v>0</v>
      </c>
      <c r="E1106" s="55">
        <v>0</v>
      </c>
      <c r="F1106" s="55">
        <v>81083187250</v>
      </c>
      <c r="G1106" s="55">
        <v>21892461</v>
      </c>
      <c r="H1106" s="55">
        <v>1962565000</v>
      </c>
      <c r="I1106" s="55">
        <v>0</v>
      </c>
      <c r="J1106" s="55">
        <v>1962565000</v>
      </c>
      <c r="L1106" s="55">
        <v>15006956000</v>
      </c>
      <c r="M1106" s="55">
        <v>0</v>
      </c>
      <c r="N1106" s="55">
        <v>15006956000</v>
      </c>
      <c r="O1106" s="55">
        <v>653971000</v>
      </c>
      <c r="P1106" s="55">
        <v>0</v>
      </c>
      <c r="Q1106" s="55">
        <v>653971000</v>
      </c>
      <c r="R1106" s="55">
        <v>1182956000</v>
      </c>
      <c r="S1106" s="55">
        <v>0</v>
      </c>
      <c r="T1106" s="55">
        <v>1182956000</v>
      </c>
      <c r="U1106" s="55">
        <v>126004000</v>
      </c>
      <c r="V1106" s="55">
        <v>0</v>
      </c>
      <c r="W1106" s="55">
        <v>126004000</v>
      </c>
      <c r="X1106" s="55">
        <v>15550000</v>
      </c>
      <c r="Y1106" s="55">
        <v>0</v>
      </c>
      <c r="Z1106" s="55">
        <v>15550000</v>
      </c>
      <c r="AA1106" s="55">
        <v>91855000</v>
      </c>
      <c r="AB1106" s="55">
        <v>0</v>
      </c>
      <c r="AC1106" s="55">
        <v>91855000</v>
      </c>
      <c r="AD1106" s="55">
        <v>3141000</v>
      </c>
      <c r="AE1106" s="55">
        <v>0</v>
      </c>
      <c r="AF1106" s="55">
        <v>3141000</v>
      </c>
      <c r="AG1106" s="55">
        <v>0</v>
      </c>
      <c r="AH1106" s="55">
        <v>0</v>
      </c>
      <c r="AI1106" s="55">
        <v>0</v>
      </c>
      <c r="AJ1106" s="55">
        <v>2056644</v>
      </c>
      <c r="AK1106" s="55">
        <v>0</v>
      </c>
      <c r="AL1106" s="55">
        <v>44933</v>
      </c>
      <c r="AM1106" s="55">
        <v>859</v>
      </c>
      <c r="AN1106" s="55">
        <v>8624100</v>
      </c>
      <c r="AO1106" s="55">
        <v>2319300</v>
      </c>
      <c r="AQ1106" s="55">
        <v>34606916914400</v>
      </c>
      <c r="AR1106" s="55">
        <v>210032162000</v>
      </c>
      <c r="AS1106" s="55">
        <v>61763457000</v>
      </c>
      <c r="AT1106" s="55">
        <v>142849785250</v>
      </c>
      <c r="AU1106" s="55">
        <f t="shared" si="788"/>
        <v>34892505</v>
      </c>
      <c r="AV1106" s="99">
        <f t="shared" si="789"/>
        <v>39108899626.395996</v>
      </c>
    </row>
    <row r="1107" spans="1:48">
      <c r="A1107" s="92">
        <v>45289</v>
      </c>
      <c r="B1107" s="55">
        <v>43993810000</v>
      </c>
      <c r="C1107" s="55">
        <v>5351605000</v>
      </c>
      <c r="D1107" s="55">
        <v>0</v>
      </c>
      <c r="E1107" s="55">
        <v>0</v>
      </c>
      <c r="F1107" s="55">
        <v>49345415000</v>
      </c>
      <c r="G1107" s="55">
        <v>13323262</v>
      </c>
      <c r="H1107" s="55">
        <v>20219687000</v>
      </c>
      <c r="I1107" s="55">
        <v>0</v>
      </c>
      <c r="J1107" s="55">
        <v>20219687000</v>
      </c>
      <c r="L1107" s="55">
        <v>8334158000</v>
      </c>
      <c r="M1107" s="55">
        <v>0</v>
      </c>
      <c r="N1107" s="55">
        <v>8334158000</v>
      </c>
      <c r="O1107" s="55">
        <v>4765241000</v>
      </c>
      <c r="P1107" s="55">
        <v>0</v>
      </c>
      <c r="Q1107" s="55">
        <v>4765241000</v>
      </c>
      <c r="R1107" s="55">
        <v>229603000</v>
      </c>
      <c r="S1107" s="55">
        <v>0</v>
      </c>
      <c r="T1107" s="55">
        <v>229603000</v>
      </c>
      <c r="U1107" s="55">
        <v>512141000</v>
      </c>
      <c r="V1107" s="55">
        <v>0</v>
      </c>
      <c r="W1107" s="55">
        <v>512141000</v>
      </c>
      <c r="X1107" s="55">
        <v>5976000</v>
      </c>
      <c r="Y1107" s="55">
        <v>0</v>
      </c>
      <c r="Z1107" s="55">
        <v>5976000</v>
      </c>
      <c r="AA1107" s="55">
        <v>212873000</v>
      </c>
      <c r="AB1107" s="55">
        <v>0</v>
      </c>
      <c r="AC1107" s="55">
        <v>212873000</v>
      </c>
      <c r="AD1107" s="55">
        <v>0</v>
      </c>
      <c r="AE1107" s="55">
        <v>0</v>
      </c>
      <c r="AF1107" s="55">
        <v>0</v>
      </c>
      <c r="AG1107" s="55">
        <v>0</v>
      </c>
      <c r="AH1107" s="55">
        <v>0</v>
      </c>
      <c r="AI1107" s="55">
        <v>0</v>
      </c>
      <c r="AJ1107" s="55">
        <v>3702205</v>
      </c>
      <c r="AK1107" s="55">
        <v>0</v>
      </c>
      <c r="AL1107" s="55">
        <v>44933</v>
      </c>
      <c r="AM1107" s="55">
        <v>574</v>
      </c>
      <c r="AN1107" s="55">
        <v>23699700</v>
      </c>
      <c r="AO1107" s="55">
        <v>1549800</v>
      </c>
      <c r="AP1107" s="55">
        <v>190414769</v>
      </c>
      <c r="AQ1107" s="55">
        <v>36221466350200</v>
      </c>
      <c r="AR1107" s="55">
        <v>184403138000</v>
      </c>
      <c r="AS1107" s="55">
        <v>40108679000</v>
      </c>
      <c r="AT1107" s="55">
        <v>89454094000</v>
      </c>
      <c r="AU1107" s="55">
        <f t="shared" si="788"/>
        <v>232689736</v>
      </c>
      <c r="AV1107" s="99">
        <f t="shared" si="789"/>
        <v>39341589362.395996</v>
      </c>
    </row>
    <row r="1108" spans="1:48">
      <c r="A1108" s="92">
        <v>45293</v>
      </c>
      <c r="B1108" s="55">
        <v>96828086000</v>
      </c>
      <c r="C1108" s="55">
        <v>6772304200</v>
      </c>
      <c r="D1108" s="55">
        <v>0</v>
      </c>
      <c r="E1108" s="55">
        <v>0</v>
      </c>
      <c r="F1108" s="55">
        <v>103600390200</v>
      </c>
      <c r="G1108" s="55">
        <v>27972105</v>
      </c>
      <c r="H1108" s="55">
        <v>611662000</v>
      </c>
      <c r="I1108" s="55">
        <v>5861100000</v>
      </c>
      <c r="J1108" s="55">
        <v>6472762000</v>
      </c>
      <c r="L1108" s="55">
        <v>10074602000</v>
      </c>
      <c r="M1108" s="55">
        <v>15609300000</v>
      </c>
      <c r="N1108" s="55">
        <v>25683902000</v>
      </c>
      <c r="O1108" s="55">
        <v>2461466000</v>
      </c>
      <c r="P1108" s="55">
        <v>0</v>
      </c>
      <c r="Q1108" s="55">
        <v>2461466000</v>
      </c>
      <c r="R1108" s="55">
        <v>956181000</v>
      </c>
      <c r="S1108" s="55">
        <v>0</v>
      </c>
      <c r="T1108" s="55">
        <v>956181000</v>
      </c>
      <c r="U1108" s="55">
        <v>617086000</v>
      </c>
      <c r="V1108" s="55">
        <v>0</v>
      </c>
      <c r="W1108" s="55">
        <v>617086000</v>
      </c>
      <c r="X1108" s="55">
        <v>7478000</v>
      </c>
      <c r="Y1108" s="55">
        <v>0</v>
      </c>
      <c r="Z1108" s="55">
        <v>7478000</v>
      </c>
      <c r="AA1108" s="55">
        <v>52574000</v>
      </c>
      <c r="AB1108" s="55">
        <v>0</v>
      </c>
      <c r="AC1108" s="55">
        <v>52574000</v>
      </c>
      <c r="AD1108" s="55">
        <v>18990000</v>
      </c>
      <c r="AE1108" s="55">
        <v>0</v>
      </c>
      <c r="AF1108" s="55">
        <v>18990000</v>
      </c>
      <c r="AG1108" s="55">
        <v>0</v>
      </c>
      <c r="AH1108" s="55">
        <v>0</v>
      </c>
      <c r="AI1108" s="55">
        <v>0</v>
      </c>
      <c r="AJ1108" s="55">
        <v>5463076</v>
      </c>
      <c r="AK1108" s="55">
        <v>0</v>
      </c>
      <c r="AL1108" s="55">
        <v>44933</v>
      </c>
      <c r="AM1108" s="55">
        <v>701</v>
      </c>
      <c r="AN1108" s="55">
        <v>6362250</v>
      </c>
      <c r="AO1108" s="55">
        <v>1892700</v>
      </c>
      <c r="AQ1108" s="55">
        <v>37793115448200</v>
      </c>
      <c r="AR1108" s="55">
        <v>474374852000</v>
      </c>
      <c r="AS1108" s="55">
        <v>57721849000</v>
      </c>
      <c r="AT1108" s="55">
        <v>161341229200</v>
      </c>
      <c r="AU1108" s="55">
        <f>G1108+AJ1108+AK1108+AN1108+AO1108+AP1108</f>
        <v>41690131</v>
      </c>
      <c r="AV1108" s="99">
        <f>AV1107+AU1108</f>
        <v>39383279493.395996</v>
      </c>
    </row>
    <row r="1109" spans="1:48">
      <c r="A1109" s="92">
        <v>45294</v>
      </c>
      <c r="B1109" s="55">
        <v>28534994000</v>
      </c>
      <c r="C1109" s="55">
        <v>5713145000</v>
      </c>
      <c r="D1109" s="55">
        <v>0</v>
      </c>
      <c r="E1109" s="55">
        <v>0</v>
      </c>
      <c r="F1109" s="55">
        <v>34248139000</v>
      </c>
      <c r="G1109" s="55">
        <v>9246998</v>
      </c>
      <c r="H1109" s="55">
        <v>497226000</v>
      </c>
      <c r="I1109" s="55">
        <v>9765800000</v>
      </c>
      <c r="J1109" s="55">
        <v>10263026000</v>
      </c>
      <c r="L1109" s="55">
        <v>25244147000</v>
      </c>
      <c r="M1109" s="55">
        <v>13022500000</v>
      </c>
      <c r="N1109" s="55">
        <v>38266647000</v>
      </c>
      <c r="O1109" s="55">
        <v>350710000</v>
      </c>
      <c r="P1109" s="55">
        <v>0</v>
      </c>
      <c r="Q1109" s="55">
        <v>350710000</v>
      </c>
      <c r="R1109" s="55">
        <v>729031000</v>
      </c>
      <c r="S1109" s="55">
        <v>0</v>
      </c>
      <c r="T1109" s="55">
        <v>729031000</v>
      </c>
      <c r="U1109" s="55">
        <v>301793000</v>
      </c>
      <c r="V1109" s="55">
        <v>0</v>
      </c>
      <c r="W1109" s="55">
        <v>301793000</v>
      </c>
      <c r="X1109" s="55">
        <v>11974000</v>
      </c>
      <c r="Y1109" s="55">
        <v>0</v>
      </c>
      <c r="Z1109" s="55">
        <v>11974000</v>
      </c>
      <c r="AA1109" s="55">
        <v>135763000</v>
      </c>
      <c r="AB1109" s="55">
        <v>0</v>
      </c>
      <c r="AC1109" s="55">
        <v>135763000</v>
      </c>
      <c r="AD1109" s="55">
        <v>1065000</v>
      </c>
      <c r="AE1109" s="55">
        <v>0</v>
      </c>
      <c r="AF1109" s="55">
        <v>1065000</v>
      </c>
      <c r="AG1109" s="55">
        <v>0</v>
      </c>
      <c r="AH1109" s="55">
        <v>0</v>
      </c>
      <c r="AI1109" s="55">
        <v>0</v>
      </c>
      <c r="AJ1109" s="55">
        <v>7047239</v>
      </c>
      <c r="AK1109" s="55">
        <v>0</v>
      </c>
      <c r="AL1109" s="55">
        <v>44933</v>
      </c>
      <c r="AM1109" s="55">
        <v>406</v>
      </c>
      <c r="AN1109" s="55">
        <v>6224550</v>
      </c>
      <c r="AO1109" s="55">
        <v>1096200</v>
      </c>
      <c r="AQ1109" s="55">
        <v>32656190201600</v>
      </c>
      <c r="AR1109" s="55">
        <v>551073172000</v>
      </c>
      <c r="AS1109" s="55">
        <v>72847244000</v>
      </c>
      <c r="AT1109" s="55">
        <v>107096448000</v>
      </c>
      <c r="AU1109" s="55">
        <f>G1109+AJ1109+AK1109+AN1109+AO1109+AP1109</f>
        <v>23614987</v>
      </c>
      <c r="AV1109" s="99">
        <f>AV1108+AU1109</f>
        <v>39406894480.395996</v>
      </c>
    </row>
    <row r="1110" spans="1:48">
      <c r="A1110" s="92">
        <v>45295</v>
      </c>
      <c r="B1110" s="55">
        <v>121098570000</v>
      </c>
      <c r="C1110" s="55">
        <v>5965670000</v>
      </c>
      <c r="D1110" s="55">
        <v>0</v>
      </c>
      <c r="E1110" s="55">
        <v>0</v>
      </c>
      <c r="F1110" s="55">
        <v>127064240000</v>
      </c>
      <c r="G1110" s="55">
        <v>34307345</v>
      </c>
      <c r="H1110" s="55">
        <v>8728740000</v>
      </c>
      <c r="I1110" s="55">
        <v>3963200000</v>
      </c>
      <c r="J1110" s="55">
        <v>12691940000</v>
      </c>
      <c r="L1110" s="55">
        <v>49901682000</v>
      </c>
      <c r="M1110" s="55">
        <v>36876600000</v>
      </c>
      <c r="N1110" s="55">
        <v>86778282000</v>
      </c>
      <c r="O1110" s="55">
        <v>17662224000</v>
      </c>
      <c r="P1110" s="55">
        <v>0</v>
      </c>
      <c r="Q1110" s="55">
        <v>17662224000</v>
      </c>
      <c r="R1110" s="55">
        <v>2032743000</v>
      </c>
      <c r="S1110" s="55">
        <v>0</v>
      </c>
      <c r="T1110" s="55">
        <v>2032743000</v>
      </c>
      <c r="U1110" s="55">
        <v>895129000</v>
      </c>
      <c r="V1110" s="55">
        <v>0</v>
      </c>
      <c r="W1110" s="55">
        <v>895129000</v>
      </c>
      <c r="X1110" s="55">
        <v>95241000</v>
      </c>
      <c r="Y1110" s="55">
        <v>0</v>
      </c>
      <c r="Z1110" s="55">
        <v>95241000</v>
      </c>
      <c r="AA1110" s="55">
        <v>212504000</v>
      </c>
      <c r="AB1110" s="55">
        <v>0</v>
      </c>
      <c r="AC1110" s="55">
        <v>212504000</v>
      </c>
      <c r="AD1110" s="55">
        <v>52689000</v>
      </c>
      <c r="AE1110" s="55">
        <v>0</v>
      </c>
      <c r="AF1110" s="55">
        <v>52689000</v>
      </c>
      <c r="AG1110" s="55">
        <v>0</v>
      </c>
      <c r="AH1110" s="55">
        <v>0</v>
      </c>
      <c r="AI1110" s="55">
        <v>0</v>
      </c>
      <c r="AJ1110" s="55">
        <v>15945907</v>
      </c>
      <c r="AK1110" s="55">
        <v>0</v>
      </c>
      <c r="AL1110" s="55">
        <v>44933</v>
      </c>
      <c r="AM1110" s="55">
        <v>1259</v>
      </c>
      <c r="AN1110" s="55">
        <v>6074100</v>
      </c>
      <c r="AO1110" s="55">
        <v>3399300</v>
      </c>
      <c r="AQ1110" s="55">
        <v>56667885713600</v>
      </c>
      <c r="AR1110" s="55">
        <v>391828962000</v>
      </c>
      <c r="AS1110" s="55">
        <v>161207863000</v>
      </c>
      <c r="AT1110" s="55">
        <v>288324792000</v>
      </c>
      <c r="AU1110" s="55">
        <f>G1110+AJ1110+AK1110+AN1110+AO1110+AP1110</f>
        <v>59726652</v>
      </c>
      <c r="AV1110" s="99">
        <f>AV1109+AU1110</f>
        <v>39466621132.395996</v>
      </c>
    </row>
    <row r="1111" spans="1:48">
      <c r="A1111" s="92">
        <v>45296</v>
      </c>
      <c r="B1111" s="55">
        <v>58341965000</v>
      </c>
      <c r="C1111" s="55">
        <v>5931975000</v>
      </c>
      <c r="D1111" s="55">
        <v>0</v>
      </c>
      <c r="E1111" s="55">
        <v>0</v>
      </c>
      <c r="F1111" s="55">
        <v>64273940000</v>
      </c>
      <c r="G1111" s="55">
        <v>17353964</v>
      </c>
      <c r="H1111" s="55">
        <v>1883394000</v>
      </c>
      <c r="I1111" s="55">
        <v>20016400000</v>
      </c>
      <c r="J1111" s="55">
        <v>21899794000</v>
      </c>
      <c r="L1111" s="55">
        <v>76604555000</v>
      </c>
      <c r="M1111" s="55">
        <v>42602400000</v>
      </c>
      <c r="N1111" s="55">
        <v>119206955000</v>
      </c>
      <c r="O1111" s="55">
        <v>118076000</v>
      </c>
      <c r="P1111" s="55">
        <v>0</v>
      </c>
      <c r="Q1111" s="55">
        <v>118076000</v>
      </c>
      <c r="R1111" s="55">
        <v>260336000</v>
      </c>
      <c r="S1111" s="55">
        <v>0</v>
      </c>
      <c r="T1111" s="55">
        <v>260336000</v>
      </c>
      <c r="U1111" s="55">
        <v>65757000</v>
      </c>
      <c r="V1111" s="55">
        <v>0</v>
      </c>
      <c r="W1111" s="55">
        <v>65757000</v>
      </c>
      <c r="X1111" s="55">
        <v>54314000</v>
      </c>
      <c r="Y1111" s="55">
        <v>0</v>
      </c>
      <c r="Z1111" s="55">
        <v>54314000</v>
      </c>
      <c r="AA1111" s="55">
        <v>26010000</v>
      </c>
      <c r="AB1111" s="55">
        <v>0</v>
      </c>
      <c r="AC1111" s="55">
        <v>26010000</v>
      </c>
      <c r="AD1111" s="55">
        <v>0</v>
      </c>
      <c r="AE1111" s="55">
        <v>0</v>
      </c>
      <c r="AF1111" s="55">
        <v>0</v>
      </c>
      <c r="AG1111" s="55">
        <v>0</v>
      </c>
      <c r="AH1111" s="55">
        <v>0</v>
      </c>
      <c r="AI1111" s="55">
        <v>0</v>
      </c>
      <c r="AJ1111" s="55">
        <v>19804728</v>
      </c>
      <c r="AK1111" s="55">
        <v>0</v>
      </c>
      <c r="AL1111" s="55">
        <v>44933</v>
      </c>
      <c r="AM1111" s="55">
        <v>1072</v>
      </c>
      <c r="AN1111" s="55">
        <v>21420000</v>
      </c>
      <c r="AO1111" s="55">
        <v>2894400</v>
      </c>
      <c r="AQ1111" s="55">
        <v>35781812790000</v>
      </c>
      <c r="AR1111" s="55">
        <v>764854716000</v>
      </c>
      <c r="AS1111" s="55">
        <v>204250042000</v>
      </c>
      <c r="AT1111" s="55">
        <v>268523982000</v>
      </c>
      <c r="AU1111" s="55">
        <f t="shared" ref="AU1111:AU1127" si="790">G1111+AJ1111+AK1111+AN1111+AO1111+AP1111</f>
        <v>61473092</v>
      </c>
      <c r="AV1111" s="99">
        <f t="shared" ref="AV1111:AV1129" si="791">AV1110+AU1111</f>
        <v>39528094224.395996</v>
      </c>
    </row>
    <row r="1112" spans="1:48">
      <c r="A1112" s="92">
        <v>45299</v>
      </c>
      <c r="B1112" s="55">
        <v>41008135000</v>
      </c>
      <c r="C1112" s="55">
        <v>23846150000</v>
      </c>
      <c r="D1112" s="55">
        <v>5250810000</v>
      </c>
      <c r="E1112" s="55">
        <v>0</v>
      </c>
      <c r="F1112" s="55">
        <v>70105095000</v>
      </c>
      <c r="G1112" s="55">
        <v>18928376</v>
      </c>
      <c r="H1112" s="55">
        <v>7782036000</v>
      </c>
      <c r="I1112" s="55">
        <v>1994400000</v>
      </c>
      <c r="J1112" s="55">
        <v>9776436000</v>
      </c>
      <c r="L1112" s="55">
        <v>58933119000</v>
      </c>
      <c r="M1112" s="55">
        <v>31925600000</v>
      </c>
      <c r="N1112" s="55">
        <v>90858719000</v>
      </c>
      <c r="O1112" s="55">
        <v>16722937000</v>
      </c>
      <c r="P1112" s="55">
        <v>0</v>
      </c>
      <c r="Q1112" s="55">
        <v>16722937000</v>
      </c>
      <c r="R1112" s="55">
        <v>408678000</v>
      </c>
      <c r="S1112" s="55">
        <v>0</v>
      </c>
      <c r="T1112" s="55">
        <v>408678000</v>
      </c>
      <c r="U1112" s="55">
        <v>159363000</v>
      </c>
      <c r="V1112" s="55">
        <v>0</v>
      </c>
      <c r="W1112" s="55">
        <v>159363000</v>
      </c>
      <c r="X1112" s="55">
        <v>19177000</v>
      </c>
      <c r="Y1112" s="55">
        <v>0</v>
      </c>
      <c r="Z1112" s="55">
        <v>19177000</v>
      </c>
      <c r="AA1112" s="55">
        <v>494299000</v>
      </c>
      <c r="AB1112" s="55">
        <v>0</v>
      </c>
      <c r="AC1112" s="55">
        <v>494299000</v>
      </c>
      <c r="AD1112" s="55">
        <v>0</v>
      </c>
      <c r="AE1112" s="55">
        <v>0</v>
      </c>
      <c r="AF1112" s="55">
        <v>0</v>
      </c>
      <c r="AG1112" s="55">
        <v>0</v>
      </c>
      <c r="AH1112" s="55">
        <v>0</v>
      </c>
      <c r="AI1112" s="55">
        <v>0</v>
      </c>
      <c r="AJ1112" s="55">
        <v>15233718</v>
      </c>
      <c r="AK1112" s="55">
        <v>0</v>
      </c>
      <c r="AL1112" s="55">
        <v>44933</v>
      </c>
      <c r="AM1112" s="55">
        <v>1470</v>
      </c>
      <c r="AN1112" s="55">
        <v>9690000</v>
      </c>
      <c r="AO1112" s="55">
        <v>3969000</v>
      </c>
      <c r="AQ1112" s="55">
        <v>43203443782000</v>
      </c>
      <c r="AR1112" s="55">
        <v>650779734000</v>
      </c>
      <c r="AS1112" s="55">
        <v>152592115360</v>
      </c>
      <c r="AT1112" s="55">
        <v>222697210360</v>
      </c>
      <c r="AU1112" s="55">
        <f t="shared" si="790"/>
        <v>47821094</v>
      </c>
      <c r="AV1112" s="99">
        <f t="shared" si="791"/>
        <v>39575915318.395996</v>
      </c>
    </row>
    <row r="1113" spans="1:48">
      <c r="A1113" s="92">
        <v>45300</v>
      </c>
      <c r="B1113" s="55">
        <v>40606104000</v>
      </c>
      <c r="C1113" s="55">
        <v>0</v>
      </c>
      <c r="D1113" s="55">
        <v>0</v>
      </c>
      <c r="E1113" s="55">
        <v>0</v>
      </c>
      <c r="F1113" s="55">
        <v>40606104000</v>
      </c>
      <c r="G1113" s="55">
        <v>10963648</v>
      </c>
      <c r="H1113" s="55">
        <v>260079000</v>
      </c>
      <c r="I1113" s="55">
        <v>0</v>
      </c>
      <c r="J1113" s="55">
        <v>260079000</v>
      </c>
      <c r="L1113" s="55">
        <v>25074989000</v>
      </c>
      <c r="M1113" s="55">
        <v>93007800000</v>
      </c>
      <c r="N1113" s="55">
        <v>118082789000</v>
      </c>
      <c r="O1113" s="55">
        <v>427847000</v>
      </c>
      <c r="P1113" s="55">
        <v>0</v>
      </c>
      <c r="Q1113" s="55">
        <v>427847000</v>
      </c>
      <c r="R1113" s="55">
        <v>232229000</v>
      </c>
      <c r="S1113" s="55">
        <v>0</v>
      </c>
      <c r="T1113" s="55">
        <v>232229000</v>
      </c>
      <c r="U1113" s="55">
        <v>37266000</v>
      </c>
      <c r="V1113" s="55">
        <v>0</v>
      </c>
      <c r="W1113" s="55">
        <v>37266000</v>
      </c>
      <c r="X1113" s="55">
        <v>215033000</v>
      </c>
      <c r="Y1113" s="55">
        <v>0</v>
      </c>
      <c r="Z1113" s="55">
        <v>215033000</v>
      </c>
      <c r="AA1113" s="55">
        <v>253085000</v>
      </c>
      <c r="AB1113" s="55">
        <v>29376000000</v>
      </c>
      <c r="AC1113" s="55">
        <v>29629085000</v>
      </c>
      <c r="AD1113" s="55">
        <v>1097000</v>
      </c>
      <c r="AE1113" s="55">
        <v>0</v>
      </c>
      <c r="AF1113" s="55">
        <v>1097000</v>
      </c>
      <c r="AG1113" s="55">
        <v>0</v>
      </c>
      <c r="AH1113" s="55">
        <v>0</v>
      </c>
      <c r="AI1113" s="55">
        <v>0</v>
      </c>
      <c r="AJ1113" s="55">
        <v>24891260</v>
      </c>
      <c r="AK1113" s="55">
        <v>0</v>
      </c>
      <c r="AL1113" s="55">
        <v>44933</v>
      </c>
      <c r="AM1113" s="55">
        <v>602</v>
      </c>
      <c r="AN1113" s="55">
        <v>11184300</v>
      </c>
      <c r="AO1113" s="55">
        <v>1625400</v>
      </c>
      <c r="AQ1113" s="55">
        <v>41719789701000</v>
      </c>
      <c r="AR1113" s="55">
        <v>448139638000</v>
      </c>
      <c r="AS1113" s="55">
        <v>241963898000</v>
      </c>
      <c r="AT1113" s="55">
        <v>282571099000</v>
      </c>
      <c r="AU1113" s="55">
        <f t="shared" si="790"/>
        <v>48664608</v>
      </c>
      <c r="AV1113" s="99">
        <f t="shared" si="791"/>
        <v>39624579926.395996</v>
      </c>
    </row>
    <row r="1114" spans="1:48">
      <c r="A1114" s="92">
        <v>45301</v>
      </c>
      <c r="B1114" s="55">
        <v>121466233000</v>
      </c>
      <c r="C1114" s="55">
        <v>0</v>
      </c>
      <c r="D1114" s="55">
        <v>0</v>
      </c>
      <c r="E1114" s="55">
        <v>0</v>
      </c>
      <c r="F1114" s="55">
        <v>121466233000</v>
      </c>
      <c r="G1114" s="55">
        <v>32795883</v>
      </c>
      <c r="H1114" s="55">
        <v>787498000</v>
      </c>
      <c r="I1114" s="55">
        <v>0</v>
      </c>
      <c r="J1114" s="55">
        <v>787498000</v>
      </c>
      <c r="L1114" s="55">
        <v>42438779000</v>
      </c>
      <c r="M1114" s="55">
        <v>85210800000</v>
      </c>
      <c r="N1114" s="55">
        <v>127649579000</v>
      </c>
      <c r="O1114" s="55">
        <v>5770767000</v>
      </c>
      <c r="P1114" s="55">
        <v>0</v>
      </c>
      <c r="Q1114" s="55">
        <v>5770767000</v>
      </c>
      <c r="R1114" s="55">
        <v>574481000</v>
      </c>
      <c r="S1114" s="55">
        <v>0</v>
      </c>
      <c r="T1114" s="55">
        <v>574481000</v>
      </c>
      <c r="U1114" s="55">
        <v>624065000</v>
      </c>
      <c r="V1114" s="55">
        <v>0</v>
      </c>
      <c r="W1114" s="55">
        <v>624065000</v>
      </c>
      <c r="X1114" s="55">
        <v>193803000</v>
      </c>
      <c r="Y1114" s="55">
        <v>0</v>
      </c>
      <c r="Z1114" s="55">
        <v>193803000</v>
      </c>
      <c r="AA1114" s="55">
        <v>70146000</v>
      </c>
      <c r="AB1114" s="55">
        <v>0</v>
      </c>
      <c r="AC1114" s="55">
        <v>70146000</v>
      </c>
      <c r="AD1114" s="55">
        <v>0</v>
      </c>
      <c r="AE1114" s="55">
        <v>0</v>
      </c>
      <c r="AF1114" s="55">
        <v>0</v>
      </c>
      <c r="AG1114" s="55">
        <v>0</v>
      </c>
      <c r="AH1114" s="55">
        <v>0</v>
      </c>
      <c r="AI1114" s="55">
        <v>0</v>
      </c>
      <c r="AJ1114" s="55">
        <v>20787574</v>
      </c>
      <c r="AK1114" s="55">
        <v>0</v>
      </c>
      <c r="AL1114" s="55">
        <v>44933</v>
      </c>
      <c r="AM1114" s="55">
        <v>852</v>
      </c>
      <c r="AN1114" s="55">
        <v>11566800</v>
      </c>
      <c r="AO1114" s="55">
        <v>2300400</v>
      </c>
      <c r="AQ1114" s="55">
        <v>47356959281400</v>
      </c>
      <c r="AR1114" s="55">
        <v>526841110000</v>
      </c>
      <c r="AS1114" s="55">
        <v>220934299000</v>
      </c>
      <c r="AT1114" s="55">
        <v>342400532000</v>
      </c>
      <c r="AU1114" s="55">
        <f t="shared" si="790"/>
        <v>67450657</v>
      </c>
      <c r="AV1114" s="99">
        <f t="shared" si="791"/>
        <v>39692030583.395996</v>
      </c>
    </row>
    <row r="1115" spans="1:48">
      <c r="A1115" s="92">
        <v>45302</v>
      </c>
      <c r="B1115" s="55">
        <v>24435659000</v>
      </c>
      <c r="C1115" s="55">
        <v>35274750000</v>
      </c>
      <c r="D1115" s="55">
        <v>0</v>
      </c>
      <c r="E1115" s="55">
        <v>0</v>
      </c>
      <c r="F1115" s="55">
        <v>59710409000</v>
      </c>
      <c r="G1115" s="55">
        <v>16121810</v>
      </c>
      <c r="H1115" s="55">
        <v>6894488000</v>
      </c>
      <c r="I1115" s="55">
        <v>2001700000</v>
      </c>
      <c r="J1115" s="55">
        <v>8896188000</v>
      </c>
      <c r="L1115" s="55">
        <v>59010274000</v>
      </c>
      <c r="M1115" s="55">
        <v>74697400000</v>
      </c>
      <c r="N1115" s="55">
        <v>133707674000</v>
      </c>
      <c r="O1115" s="55">
        <v>377887000</v>
      </c>
      <c r="P1115" s="55">
        <v>0</v>
      </c>
      <c r="Q1115" s="55">
        <v>377887000</v>
      </c>
      <c r="R1115" s="55">
        <v>849597000</v>
      </c>
      <c r="S1115" s="55">
        <v>0</v>
      </c>
      <c r="T1115" s="55">
        <v>849597000</v>
      </c>
      <c r="U1115" s="55">
        <v>875540000</v>
      </c>
      <c r="V1115" s="55">
        <v>0</v>
      </c>
      <c r="W1115" s="55">
        <v>875540000</v>
      </c>
      <c r="X1115" s="55">
        <v>7677000</v>
      </c>
      <c r="Y1115" s="55">
        <v>0</v>
      </c>
      <c r="Z1115" s="55">
        <v>7677000</v>
      </c>
      <c r="AA1115" s="55">
        <v>168033000</v>
      </c>
      <c r="AB1115" s="55">
        <v>0</v>
      </c>
      <c r="AC1115" s="55">
        <v>168033000</v>
      </c>
      <c r="AD1115" s="55">
        <v>149928000</v>
      </c>
      <c r="AE1115" s="55">
        <v>0</v>
      </c>
      <c r="AF1115" s="55">
        <v>149928000</v>
      </c>
      <c r="AG1115" s="55">
        <v>0</v>
      </c>
      <c r="AH1115" s="55">
        <v>5713020000</v>
      </c>
      <c r="AI1115" s="55">
        <v>5713020000</v>
      </c>
      <c r="AJ1115" s="55">
        <v>22214191</v>
      </c>
      <c r="AK1115" s="55">
        <v>0</v>
      </c>
      <c r="AL1115" s="55">
        <v>44933</v>
      </c>
      <c r="AM1115" s="55">
        <v>781</v>
      </c>
      <c r="AN1115" s="55">
        <v>12563850</v>
      </c>
      <c r="AO1115" s="55">
        <v>2108700</v>
      </c>
      <c r="AQ1115" s="55">
        <v>38747171074400</v>
      </c>
      <c r="AR1115" s="55">
        <v>438555062000</v>
      </c>
      <c r="AS1115" s="55">
        <v>233060816000</v>
      </c>
      <c r="AT1115" s="55">
        <v>292921153000</v>
      </c>
      <c r="AU1115" s="55">
        <f t="shared" si="790"/>
        <v>53008551</v>
      </c>
      <c r="AV1115" s="99">
        <f t="shared" si="791"/>
        <v>39745039134.395996</v>
      </c>
    </row>
    <row r="1116" spans="1:48">
      <c r="A1116" s="92">
        <v>45303</v>
      </c>
      <c r="B1116" s="55">
        <v>77380289000</v>
      </c>
      <c r="C1116" s="55">
        <v>60089896650</v>
      </c>
      <c r="D1116" s="55">
        <v>5621140000</v>
      </c>
      <c r="E1116" s="55">
        <v>0</v>
      </c>
      <c r="F1116" s="55">
        <v>143091325650</v>
      </c>
      <c r="G1116" s="55">
        <v>38634658</v>
      </c>
      <c r="H1116" s="55">
        <v>369240000</v>
      </c>
      <c r="I1116" s="55">
        <v>5996700000</v>
      </c>
      <c r="J1116" s="55">
        <v>6365940000</v>
      </c>
      <c r="L1116" s="55">
        <v>6265385000</v>
      </c>
      <c r="M1116" s="55">
        <v>29292300000</v>
      </c>
      <c r="N1116" s="55">
        <v>35557685000</v>
      </c>
      <c r="O1116" s="55">
        <v>12688695000</v>
      </c>
      <c r="P1116" s="55">
        <v>0</v>
      </c>
      <c r="Q1116" s="55">
        <v>12688695000</v>
      </c>
      <c r="R1116" s="55">
        <v>684869000</v>
      </c>
      <c r="S1116" s="55">
        <v>0</v>
      </c>
      <c r="T1116" s="55">
        <v>684869000</v>
      </c>
      <c r="U1116" s="55">
        <v>146295000</v>
      </c>
      <c r="V1116" s="55">
        <v>0</v>
      </c>
      <c r="W1116" s="55">
        <v>146295000</v>
      </c>
      <c r="X1116" s="55">
        <v>95351000</v>
      </c>
      <c r="Y1116" s="55">
        <v>0</v>
      </c>
      <c r="Z1116" s="55">
        <v>95351000</v>
      </c>
      <c r="AA1116" s="55">
        <v>2217074000</v>
      </c>
      <c r="AB1116" s="55">
        <v>0</v>
      </c>
      <c r="AC1116" s="55">
        <v>2217074000</v>
      </c>
      <c r="AD1116" s="55">
        <v>0</v>
      </c>
      <c r="AE1116" s="55">
        <v>0</v>
      </c>
      <c r="AF1116" s="55">
        <v>0</v>
      </c>
      <c r="AG1116" s="55">
        <v>0</v>
      </c>
      <c r="AH1116" s="55">
        <v>0</v>
      </c>
      <c r="AI1116" s="55">
        <v>0</v>
      </c>
      <c r="AJ1116" s="55">
        <v>8778446</v>
      </c>
      <c r="AK1116" s="55">
        <v>0</v>
      </c>
      <c r="AL1116" s="55">
        <v>44933</v>
      </c>
      <c r="AM1116" s="55">
        <v>1363</v>
      </c>
      <c r="AN1116" s="55">
        <v>33430500</v>
      </c>
      <c r="AO1116" s="55">
        <v>3680100</v>
      </c>
      <c r="AQ1116" s="55">
        <v>51032044441800</v>
      </c>
      <c r="AR1116" s="55">
        <v>136462202000</v>
      </c>
      <c r="AS1116" s="55">
        <v>95170909000</v>
      </c>
      <c r="AT1116" s="55">
        <v>238262234650</v>
      </c>
      <c r="AU1116" s="55">
        <f t="shared" si="790"/>
        <v>84523704</v>
      </c>
      <c r="AV1116" s="99">
        <f t="shared" si="791"/>
        <v>39829562838.395996</v>
      </c>
    </row>
    <row r="1117" spans="1:48">
      <c r="A1117" s="92">
        <v>45306</v>
      </c>
      <c r="B1117" s="55">
        <v>75832785000</v>
      </c>
      <c r="C1117" s="55">
        <v>28278091800</v>
      </c>
      <c r="D1117" s="55">
        <v>0</v>
      </c>
      <c r="E1117" s="55">
        <v>0</v>
      </c>
      <c r="F1117" s="55">
        <v>104110876800</v>
      </c>
      <c r="G1117" s="55">
        <v>28109937</v>
      </c>
      <c r="H1117" s="55">
        <v>1549993000</v>
      </c>
      <c r="I1117" s="55">
        <v>0</v>
      </c>
      <c r="J1117" s="55">
        <v>1549993000</v>
      </c>
      <c r="L1117" s="55">
        <v>2478904000</v>
      </c>
      <c r="M1117" s="55">
        <v>5349000000</v>
      </c>
      <c r="N1117" s="55">
        <v>7827904000</v>
      </c>
      <c r="O1117" s="55">
        <v>201451000</v>
      </c>
      <c r="P1117" s="55">
        <v>0</v>
      </c>
      <c r="Q1117" s="55">
        <v>201451000</v>
      </c>
      <c r="R1117" s="55">
        <v>1223439000</v>
      </c>
      <c r="S1117" s="55">
        <v>0</v>
      </c>
      <c r="T1117" s="55">
        <v>1223439000</v>
      </c>
      <c r="U1117" s="55">
        <v>178266000</v>
      </c>
      <c r="V1117" s="55">
        <v>0</v>
      </c>
      <c r="W1117" s="55">
        <v>178266000</v>
      </c>
      <c r="X1117" s="55">
        <v>169739000</v>
      </c>
      <c r="Y1117" s="55">
        <v>0</v>
      </c>
      <c r="Z1117" s="55">
        <v>169739000</v>
      </c>
      <c r="AA1117" s="55">
        <v>227114000</v>
      </c>
      <c r="AB1117" s="55">
        <v>0</v>
      </c>
      <c r="AC1117" s="55">
        <v>227114000</v>
      </c>
      <c r="AD1117" s="55">
        <v>125104000</v>
      </c>
      <c r="AE1117" s="55">
        <v>0</v>
      </c>
      <c r="AF1117" s="55">
        <v>125104000</v>
      </c>
      <c r="AG1117" s="55">
        <v>0</v>
      </c>
      <c r="AH1117" s="55">
        <v>0</v>
      </c>
      <c r="AI1117" s="55">
        <v>0</v>
      </c>
      <c r="AJ1117" s="55">
        <v>1627453</v>
      </c>
      <c r="AK1117" s="55">
        <v>0</v>
      </c>
      <c r="AL1117" s="55">
        <v>44933</v>
      </c>
      <c r="AM1117" s="55">
        <v>1426</v>
      </c>
      <c r="AN1117" s="55">
        <v>10062300</v>
      </c>
      <c r="AO1117" s="55">
        <v>3850200</v>
      </c>
      <c r="AQ1117" s="55">
        <v>28657342164800</v>
      </c>
      <c r="AR1117" s="55">
        <v>80244366000</v>
      </c>
      <c r="AS1117" s="55">
        <v>16833259000</v>
      </c>
      <c r="AT1117" s="55">
        <v>511476691700</v>
      </c>
      <c r="AU1117" s="55">
        <f t="shared" si="790"/>
        <v>43649890</v>
      </c>
      <c r="AV1117" s="99">
        <f t="shared" si="791"/>
        <v>39873212728.395996</v>
      </c>
    </row>
    <row r="1118" spans="1:48">
      <c r="A1118" s="92">
        <v>45307</v>
      </c>
      <c r="B1118" s="55">
        <v>53456865000</v>
      </c>
      <c r="C1118" s="55">
        <v>25133988900</v>
      </c>
      <c r="D1118" s="55">
        <v>0</v>
      </c>
      <c r="E1118" s="55">
        <v>0</v>
      </c>
      <c r="F1118" s="55">
        <v>78590853900</v>
      </c>
      <c r="G1118" s="55">
        <v>21219531</v>
      </c>
      <c r="H1118" s="55">
        <v>4695346000</v>
      </c>
      <c r="I1118" s="55">
        <v>0</v>
      </c>
      <c r="J1118" s="55">
        <v>4695346000</v>
      </c>
      <c r="L1118" s="55">
        <v>3311466000</v>
      </c>
      <c r="M1118" s="55">
        <v>0</v>
      </c>
      <c r="N1118" s="55">
        <v>3311466000</v>
      </c>
      <c r="O1118" s="55">
        <v>94629000</v>
      </c>
      <c r="P1118" s="55">
        <v>0</v>
      </c>
      <c r="Q1118" s="55">
        <v>94629000</v>
      </c>
      <c r="R1118" s="55">
        <v>97897000</v>
      </c>
      <c r="S1118" s="55">
        <v>0</v>
      </c>
      <c r="T1118" s="55">
        <v>97897000</v>
      </c>
      <c r="U1118" s="55">
        <v>77389000</v>
      </c>
      <c r="V1118" s="55">
        <v>0</v>
      </c>
      <c r="W1118" s="55">
        <v>77389000</v>
      </c>
      <c r="X1118" s="55">
        <v>0</v>
      </c>
      <c r="Y1118" s="55">
        <v>0</v>
      </c>
      <c r="Z1118" s="55">
        <v>0</v>
      </c>
      <c r="AA1118" s="55">
        <v>593478000</v>
      </c>
      <c r="AB1118" s="55">
        <v>0</v>
      </c>
      <c r="AC1118" s="55">
        <v>593478000</v>
      </c>
      <c r="AD1118" s="55">
        <v>1117000</v>
      </c>
      <c r="AE1118" s="55">
        <v>0</v>
      </c>
      <c r="AF1118" s="55">
        <v>1117000</v>
      </c>
      <c r="AG1118" s="55">
        <v>0</v>
      </c>
      <c r="AH1118" s="55">
        <v>0</v>
      </c>
      <c r="AI1118" s="55">
        <v>0</v>
      </c>
      <c r="AJ1118" s="55">
        <v>958103</v>
      </c>
      <c r="AK1118" s="55">
        <v>0</v>
      </c>
      <c r="AL1118" s="55">
        <v>44933</v>
      </c>
      <c r="AM1118" s="55">
        <v>3268</v>
      </c>
      <c r="AN1118" s="55">
        <v>8889300</v>
      </c>
      <c r="AO1118" s="55">
        <v>8823600</v>
      </c>
      <c r="AQ1118" s="55">
        <v>30007798598000</v>
      </c>
      <c r="AR1118" s="55">
        <v>35923296000</v>
      </c>
      <c r="AS1118" s="55">
        <v>9018121000</v>
      </c>
      <c r="AT1118" s="55">
        <v>479673248900</v>
      </c>
      <c r="AU1118" s="55">
        <f t="shared" si="790"/>
        <v>39890534</v>
      </c>
      <c r="AV1118" s="99">
        <f t="shared" si="791"/>
        <v>39913103262.395996</v>
      </c>
    </row>
    <row r="1119" spans="1:48">
      <c r="A1119" s="92">
        <v>45308</v>
      </c>
      <c r="B1119" s="55">
        <v>154283485000</v>
      </c>
      <c r="C1119" s="55">
        <v>30380035000</v>
      </c>
      <c r="D1119" s="55">
        <v>0</v>
      </c>
      <c r="E1119" s="55">
        <v>0</v>
      </c>
      <c r="F1119" s="55">
        <v>184663520000</v>
      </c>
      <c r="G1119" s="55">
        <v>49859150</v>
      </c>
      <c r="H1119" s="55">
        <v>264453000</v>
      </c>
      <c r="I1119" s="55">
        <v>16182900000</v>
      </c>
      <c r="J1119" s="55">
        <v>16447353000</v>
      </c>
      <c r="L1119" s="55">
        <v>13107298000</v>
      </c>
      <c r="M1119" s="55">
        <v>63540150000</v>
      </c>
      <c r="N1119" s="55">
        <v>76647448000</v>
      </c>
      <c r="O1119" s="55">
        <v>27328000</v>
      </c>
      <c r="P1119" s="55">
        <v>0</v>
      </c>
      <c r="Q1119" s="55">
        <v>27328000</v>
      </c>
      <c r="R1119" s="55">
        <v>1742826000</v>
      </c>
      <c r="S1119" s="55">
        <v>0</v>
      </c>
      <c r="T1119" s="55">
        <v>1742826000</v>
      </c>
      <c r="U1119" s="55">
        <v>31696000</v>
      </c>
      <c r="V1119" s="55">
        <v>0</v>
      </c>
      <c r="W1119" s="55">
        <v>31696000</v>
      </c>
      <c r="X1119" s="55">
        <v>12360000</v>
      </c>
      <c r="Y1119" s="55">
        <v>6966000000</v>
      </c>
      <c r="Z1119" s="55">
        <v>6978360000</v>
      </c>
      <c r="AA1119" s="55">
        <v>16168000</v>
      </c>
      <c r="AB1119" s="55">
        <v>0</v>
      </c>
      <c r="AC1119" s="55">
        <v>16168000</v>
      </c>
      <c r="AD1119" s="55">
        <v>4464000</v>
      </c>
      <c r="AE1119" s="55">
        <v>0</v>
      </c>
      <c r="AF1119" s="55">
        <v>4464000</v>
      </c>
      <c r="AG1119" s="55">
        <v>0</v>
      </c>
      <c r="AH1119" s="55">
        <v>0</v>
      </c>
      <c r="AI1119" s="55">
        <v>0</v>
      </c>
      <c r="AJ1119" s="55">
        <v>17246341</v>
      </c>
      <c r="AK1119" s="55">
        <v>0</v>
      </c>
      <c r="AL1119" s="55">
        <v>44933</v>
      </c>
      <c r="AM1119" s="55">
        <v>3053</v>
      </c>
      <c r="AN1119" s="55">
        <v>8458350</v>
      </c>
      <c r="AO1119" s="55">
        <v>8243100</v>
      </c>
      <c r="AQ1119" s="55">
        <v>37093958344800</v>
      </c>
      <c r="AR1119" s="55">
        <v>327649488000</v>
      </c>
      <c r="AS1119" s="55">
        <v>145309010000</v>
      </c>
      <c r="AT1119" s="55">
        <v>615910522000</v>
      </c>
      <c r="AU1119" s="55">
        <f t="shared" si="790"/>
        <v>83806941</v>
      </c>
      <c r="AV1119" s="99">
        <f t="shared" si="791"/>
        <v>39996910203.395996</v>
      </c>
    </row>
    <row r="1120" spans="1:48">
      <c r="A1120" s="92">
        <v>45309</v>
      </c>
      <c r="B1120" s="55">
        <v>17285941000</v>
      </c>
      <c r="C1120" s="55">
        <v>27819078000</v>
      </c>
      <c r="D1120" s="55">
        <v>0</v>
      </c>
      <c r="E1120" s="55">
        <v>0</v>
      </c>
      <c r="F1120" s="55">
        <v>45105019000</v>
      </c>
      <c r="G1120" s="55">
        <v>12178355</v>
      </c>
      <c r="H1120" s="55">
        <v>286884000</v>
      </c>
      <c r="I1120" s="55">
        <v>4030700000</v>
      </c>
      <c r="J1120" s="55">
        <v>4317584000</v>
      </c>
      <c r="L1120" s="55">
        <v>11964776000</v>
      </c>
      <c r="M1120" s="55">
        <v>2701600000</v>
      </c>
      <c r="N1120" s="55">
        <v>14666376000</v>
      </c>
      <c r="O1120" s="55">
        <v>134253000</v>
      </c>
      <c r="P1120" s="55">
        <v>0</v>
      </c>
      <c r="Q1120" s="55">
        <v>134253000</v>
      </c>
      <c r="R1120" s="55">
        <v>109664000</v>
      </c>
      <c r="S1120" s="55">
        <v>0</v>
      </c>
      <c r="T1120" s="55">
        <v>109664000</v>
      </c>
      <c r="U1120" s="55">
        <v>13006000</v>
      </c>
      <c r="V1120" s="55">
        <v>0</v>
      </c>
      <c r="W1120" s="55">
        <v>13006000</v>
      </c>
      <c r="X1120" s="55">
        <v>4642000</v>
      </c>
      <c r="Y1120" s="55">
        <v>0</v>
      </c>
      <c r="Z1120" s="55">
        <v>4642000</v>
      </c>
      <c r="AA1120" s="55">
        <v>26014000</v>
      </c>
      <c r="AB1120" s="55">
        <v>0</v>
      </c>
      <c r="AC1120" s="55">
        <v>26014000</v>
      </c>
      <c r="AD1120" s="55">
        <v>0</v>
      </c>
      <c r="AE1120" s="55">
        <v>0</v>
      </c>
      <c r="AF1120" s="55">
        <v>0</v>
      </c>
      <c r="AG1120" s="55">
        <v>0</v>
      </c>
      <c r="AH1120" s="55">
        <v>0</v>
      </c>
      <c r="AI1120" s="55">
        <v>0</v>
      </c>
      <c r="AJ1120" s="55">
        <v>2566052</v>
      </c>
      <c r="AK1120" s="55">
        <v>0</v>
      </c>
      <c r="AL1120" s="55">
        <v>44933</v>
      </c>
      <c r="AM1120" s="55">
        <v>595</v>
      </c>
      <c r="AN1120" s="55">
        <v>7935600</v>
      </c>
      <c r="AO1120" s="55">
        <v>1606500</v>
      </c>
      <c r="AQ1120" s="55">
        <v>29408989780000</v>
      </c>
      <c r="AR1120" s="55">
        <v>126679106000</v>
      </c>
      <c r="AS1120" s="55">
        <v>26003839000</v>
      </c>
      <c r="AT1120" s="55">
        <v>507549583000</v>
      </c>
      <c r="AU1120" s="55">
        <f t="shared" si="790"/>
        <v>24286507</v>
      </c>
      <c r="AV1120" s="99">
        <f t="shared" si="791"/>
        <v>40021196710.395996</v>
      </c>
    </row>
    <row r="1121" spans="1:48">
      <c r="A1121" s="92">
        <v>45310</v>
      </c>
      <c r="B1121" s="55">
        <v>75999374000</v>
      </c>
      <c r="C1121" s="55">
        <v>0</v>
      </c>
      <c r="D1121" s="55">
        <v>0</v>
      </c>
      <c r="E1121" s="55">
        <v>2310140000</v>
      </c>
      <c r="F1121" s="55">
        <v>78309514000</v>
      </c>
      <c r="G1121" s="55">
        <v>21143569</v>
      </c>
      <c r="H1121" s="55">
        <v>1447494000</v>
      </c>
      <c r="I1121" s="55">
        <v>0</v>
      </c>
      <c r="J1121" s="55">
        <v>1447494000</v>
      </c>
      <c r="L1121" s="55">
        <v>12656349000</v>
      </c>
      <c r="M1121" s="55">
        <v>0</v>
      </c>
      <c r="N1121" s="55">
        <v>12656349000</v>
      </c>
      <c r="O1121" s="55">
        <v>465770000</v>
      </c>
      <c r="P1121" s="55">
        <v>0</v>
      </c>
      <c r="Q1121" s="55">
        <v>465770000</v>
      </c>
      <c r="R1121" s="55">
        <v>588431000</v>
      </c>
      <c r="S1121" s="55">
        <v>0</v>
      </c>
      <c r="T1121" s="55">
        <v>588431000</v>
      </c>
      <c r="U1121" s="55">
        <v>170037000</v>
      </c>
      <c r="V1121" s="55">
        <v>0</v>
      </c>
      <c r="W1121" s="55">
        <v>170037000</v>
      </c>
      <c r="X1121" s="55">
        <v>0</v>
      </c>
      <c r="Y1121" s="55">
        <v>0</v>
      </c>
      <c r="Z1121" s="55">
        <v>0</v>
      </c>
      <c r="AA1121" s="55">
        <v>200208000</v>
      </c>
      <c r="AB1121" s="55">
        <v>0</v>
      </c>
      <c r="AC1121" s="55">
        <v>200208000</v>
      </c>
      <c r="AD1121" s="55">
        <v>0</v>
      </c>
      <c r="AE1121" s="55">
        <v>0</v>
      </c>
      <c r="AF1121" s="55">
        <v>0</v>
      </c>
      <c r="AG1121" s="55">
        <v>0</v>
      </c>
      <c r="AH1121" s="55">
        <v>4104000000</v>
      </c>
      <c r="AI1121" s="55">
        <v>4104000000</v>
      </c>
      <c r="AJ1121" s="55">
        <v>2415775</v>
      </c>
      <c r="AK1121" s="55">
        <v>0</v>
      </c>
      <c r="AL1121" s="55">
        <v>44933</v>
      </c>
      <c r="AM1121" s="55">
        <v>622</v>
      </c>
      <c r="AN1121" s="55">
        <v>23194800</v>
      </c>
      <c r="AO1121" s="55">
        <v>1679400</v>
      </c>
      <c r="AQ1121" s="55">
        <v>33164668144600</v>
      </c>
      <c r="AR1121" s="55">
        <v>135415610000</v>
      </c>
      <c r="AS1121" s="55">
        <v>23847030000</v>
      </c>
      <c r="AT1121" s="55">
        <v>546749780550</v>
      </c>
      <c r="AU1121" s="55">
        <f t="shared" si="790"/>
        <v>48433544</v>
      </c>
      <c r="AV1121" s="99">
        <f t="shared" si="791"/>
        <v>40069630254.395996</v>
      </c>
    </row>
    <row r="1122" spans="1:48">
      <c r="A1122" s="92">
        <v>45313</v>
      </c>
      <c r="B1122" s="55">
        <v>83985104000</v>
      </c>
      <c r="C1122" s="55">
        <v>0</v>
      </c>
      <c r="D1122" s="55">
        <v>0</v>
      </c>
      <c r="E1122" s="55">
        <v>0</v>
      </c>
      <c r="F1122" s="55">
        <v>83985104000</v>
      </c>
      <c r="G1122" s="55">
        <v>22675978</v>
      </c>
      <c r="H1122" s="55">
        <v>10850299000</v>
      </c>
      <c r="I1122" s="55">
        <v>0</v>
      </c>
      <c r="J1122" s="55">
        <v>10850299000</v>
      </c>
      <c r="L1122" s="55">
        <v>3874688000</v>
      </c>
      <c r="M1122" s="55">
        <v>0</v>
      </c>
      <c r="N1122" s="55">
        <v>3874688000</v>
      </c>
      <c r="O1122" s="55">
        <v>6043004000</v>
      </c>
      <c r="P1122" s="55">
        <v>0</v>
      </c>
      <c r="Q1122" s="55">
        <v>6043004000</v>
      </c>
      <c r="R1122" s="55">
        <v>228653000</v>
      </c>
      <c r="S1122" s="55">
        <v>0</v>
      </c>
      <c r="T1122" s="55">
        <v>228653000</v>
      </c>
      <c r="U1122" s="55">
        <v>141998000</v>
      </c>
      <c r="V1122" s="55">
        <v>0</v>
      </c>
      <c r="W1122" s="55">
        <v>141998000</v>
      </c>
      <c r="X1122" s="55">
        <v>3120000</v>
      </c>
      <c r="Y1122" s="55">
        <v>0</v>
      </c>
      <c r="Z1122" s="55">
        <v>3120000</v>
      </c>
      <c r="AA1122" s="55">
        <v>176420000</v>
      </c>
      <c r="AB1122" s="55">
        <v>1944000000</v>
      </c>
      <c r="AC1122" s="55">
        <v>2120420000</v>
      </c>
      <c r="AD1122" s="55">
        <v>0</v>
      </c>
      <c r="AE1122" s="55">
        <v>0</v>
      </c>
      <c r="AF1122" s="55">
        <v>0</v>
      </c>
      <c r="AG1122" s="55">
        <v>0</v>
      </c>
      <c r="AH1122" s="55">
        <v>0</v>
      </c>
      <c r="AI1122" s="55">
        <v>0</v>
      </c>
      <c r="AJ1122" s="55">
        <v>2652284</v>
      </c>
      <c r="AK1122" s="55">
        <v>0</v>
      </c>
      <c r="AL1122" s="55">
        <v>44933</v>
      </c>
      <c r="AM1122" s="55">
        <v>1260</v>
      </c>
      <c r="AN1122" s="55">
        <v>9016800</v>
      </c>
      <c r="AO1122" s="55">
        <v>3402000</v>
      </c>
      <c r="AQ1122" s="55">
        <v>41055223266000</v>
      </c>
      <c r="AR1122" s="55">
        <v>73740218000</v>
      </c>
      <c r="AS1122" s="55">
        <v>25236689000</v>
      </c>
      <c r="AT1122" s="55">
        <v>574598839550</v>
      </c>
      <c r="AU1122" s="55">
        <f t="shared" si="790"/>
        <v>37747062</v>
      </c>
      <c r="AV1122" s="99">
        <f t="shared" si="791"/>
        <v>40107377316.395996</v>
      </c>
    </row>
    <row r="1123" spans="1:48">
      <c r="A1123" s="92">
        <v>45314</v>
      </c>
      <c r="B1123" s="55">
        <v>75212746000</v>
      </c>
      <c r="C1123" s="55">
        <v>0</v>
      </c>
      <c r="D1123" s="55">
        <v>0</v>
      </c>
      <c r="E1123" s="55">
        <v>0</v>
      </c>
      <c r="F1123" s="55">
        <v>75212746000</v>
      </c>
      <c r="G1123" s="55">
        <v>20307441</v>
      </c>
      <c r="H1123" s="55">
        <v>548282000</v>
      </c>
      <c r="I1123" s="55">
        <v>40884000000</v>
      </c>
      <c r="J1123" s="55">
        <v>41432282000</v>
      </c>
      <c r="L1123" s="55">
        <v>6783978000</v>
      </c>
      <c r="M1123" s="55">
        <v>5468800000</v>
      </c>
      <c r="N1123" s="55">
        <v>12252778000</v>
      </c>
      <c r="O1123" s="55">
        <v>271036000</v>
      </c>
      <c r="P1123" s="55">
        <v>0</v>
      </c>
      <c r="Q1123" s="55">
        <v>271036000</v>
      </c>
      <c r="R1123" s="55">
        <v>250645000</v>
      </c>
      <c r="S1123" s="55">
        <v>0</v>
      </c>
      <c r="T1123" s="55">
        <v>250645000</v>
      </c>
      <c r="U1123" s="55">
        <v>198635000</v>
      </c>
      <c r="V1123" s="55">
        <v>0</v>
      </c>
      <c r="W1123" s="55">
        <v>198635000</v>
      </c>
      <c r="X1123" s="55">
        <v>10920000</v>
      </c>
      <c r="Y1123" s="55">
        <v>0</v>
      </c>
      <c r="Z1123" s="55">
        <v>10920000</v>
      </c>
      <c r="AA1123" s="55">
        <v>206118000</v>
      </c>
      <c r="AB1123" s="55">
        <v>0</v>
      </c>
      <c r="AC1123" s="55">
        <v>206118000</v>
      </c>
      <c r="AD1123" s="55">
        <v>0</v>
      </c>
      <c r="AE1123" s="55">
        <v>0</v>
      </c>
      <c r="AF1123" s="55">
        <v>0</v>
      </c>
      <c r="AG1123" s="55">
        <v>0</v>
      </c>
      <c r="AH1123" s="55">
        <v>0</v>
      </c>
      <c r="AI1123" s="55">
        <v>0</v>
      </c>
      <c r="AJ1123" s="55">
        <v>9236622</v>
      </c>
      <c r="AK1123" s="55">
        <v>0</v>
      </c>
      <c r="AL1123" s="55">
        <v>44933</v>
      </c>
      <c r="AM1123" s="55">
        <v>1158</v>
      </c>
      <c r="AN1123" s="55">
        <v>8353800</v>
      </c>
      <c r="AO1123" s="55">
        <v>3126600</v>
      </c>
      <c r="AQ1123" s="55">
        <v>33940233199000</v>
      </c>
      <c r="AR1123" s="55">
        <v>139991042000</v>
      </c>
      <c r="AS1123" s="55">
        <v>101290364000</v>
      </c>
      <c r="AT1123" s="55">
        <v>700340011150</v>
      </c>
      <c r="AU1123" s="55">
        <f t="shared" si="790"/>
        <v>41024463</v>
      </c>
      <c r="AV1123" s="99">
        <f t="shared" si="791"/>
        <v>40148401779.395996</v>
      </c>
    </row>
    <row r="1124" spans="1:48">
      <c r="A1124" s="92">
        <v>45315</v>
      </c>
      <c r="B1124" s="55">
        <v>189818526000</v>
      </c>
      <c r="C1124" s="55">
        <v>0</v>
      </c>
      <c r="D1124" s="55">
        <v>5793690000</v>
      </c>
      <c r="E1124" s="55">
        <v>0</v>
      </c>
      <c r="F1124" s="55">
        <v>195612216000</v>
      </c>
      <c r="G1124" s="55">
        <v>52815298</v>
      </c>
      <c r="H1124" s="55">
        <v>275690000</v>
      </c>
      <c r="I1124" s="55">
        <v>2038800000</v>
      </c>
      <c r="J1124" s="55">
        <v>2314490000</v>
      </c>
      <c r="L1124" s="55">
        <v>8256762000</v>
      </c>
      <c r="M1124" s="55">
        <v>0</v>
      </c>
      <c r="N1124" s="55">
        <v>8256762000</v>
      </c>
      <c r="O1124" s="55">
        <v>1248683000</v>
      </c>
      <c r="P1124" s="55">
        <v>0</v>
      </c>
      <c r="Q1124" s="55">
        <v>1248683000</v>
      </c>
      <c r="R1124" s="55">
        <v>535978000</v>
      </c>
      <c r="S1124" s="55">
        <v>0</v>
      </c>
      <c r="T1124" s="55">
        <v>535978000</v>
      </c>
      <c r="U1124" s="55">
        <v>202958000</v>
      </c>
      <c r="V1124" s="55">
        <v>0</v>
      </c>
      <c r="W1124" s="55">
        <v>202958000</v>
      </c>
      <c r="X1124" s="55">
        <v>777000</v>
      </c>
      <c r="Y1124" s="55">
        <v>0</v>
      </c>
      <c r="Z1124" s="55">
        <v>777000</v>
      </c>
      <c r="AA1124" s="55">
        <v>83493000</v>
      </c>
      <c r="AB1124" s="55">
        <v>0</v>
      </c>
      <c r="AC1124" s="55">
        <v>83493000</v>
      </c>
      <c r="AD1124" s="55">
        <v>0</v>
      </c>
      <c r="AE1124" s="55">
        <v>0</v>
      </c>
      <c r="AF1124" s="55">
        <v>0</v>
      </c>
      <c r="AG1124" s="55">
        <v>0</v>
      </c>
      <c r="AH1124" s="55">
        <v>0</v>
      </c>
      <c r="AI1124" s="55">
        <v>0</v>
      </c>
      <c r="AJ1124" s="55">
        <v>1512253</v>
      </c>
      <c r="AK1124" s="55">
        <v>0</v>
      </c>
      <c r="AL1124" s="55">
        <v>44933</v>
      </c>
      <c r="AM1124" s="55">
        <v>1876</v>
      </c>
      <c r="AN1124" s="55">
        <v>7690800</v>
      </c>
      <c r="AO1124" s="55">
        <v>5065200</v>
      </c>
      <c r="AQ1124" s="55">
        <v>34524741678000</v>
      </c>
      <c r="AR1124" s="55">
        <v>45249126000</v>
      </c>
      <c r="AS1124" s="55">
        <v>14765642000</v>
      </c>
      <c r="AT1124" s="55">
        <v>611903011150</v>
      </c>
      <c r="AU1124" s="55">
        <f t="shared" si="790"/>
        <v>67083551</v>
      </c>
      <c r="AV1124" s="99">
        <f t="shared" si="791"/>
        <v>40215485330.395996</v>
      </c>
    </row>
    <row r="1125" spans="1:48">
      <c r="A1125" s="92">
        <v>45316</v>
      </c>
      <c r="B1125" s="55">
        <v>59108825000</v>
      </c>
      <c r="C1125" s="55">
        <v>27353200550</v>
      </c>
      <c r="D1125" s="55">
        <v>0</v>
      </c>
      <c r="E1125" s="55">
        <v>0</v>
      </c>
      <c r="F1125" s="55">
        <v>86462025550</v>
      </c>
      <c r="G1125" s="55">
        <v>23344747</v>
      </c>
      <c r="H1125" s="55">
        <v>4498925000</v>
      </c>
      <c r="I1125" s="55">
        <v>0</v>
      </c>
      <c r="J1125" s="55">
        <v>4498925000</v>
      </c>
      <c r="L1125" s="55">
        <v>13778700000</v>
      </c>
      <c r="M1125" s="55">
        <v>8123700000</v>
      </c>
      <c r="N1125" s="55">
        <v>21902400000</v>
      </c>
      <c r="O1125" s="55">
        <v>267501000</v>
      </c>
      <c r="P1125" s="55">
        <v>0</v>
      </c>
      <c r="Q1125" s="55">
        <v>267501000</v>
      </c>
      <c r="R1125" s="55">
        <v>139170000</v>
      </c>
      <c r="S1125" s="55">
        <v>0</v>
      </c>
      <c r="T1125" s="55">
        <v>139170000</v>
      </c>
      <c r="U1125" s="55">
        <v>26146000</v>
      </c>
      <c r="V1125" s="55">
        <v>0</v>
      </c>
      <c r="W1125" s="55">
        <v>26146000</v>
      </c>
      <c r="X1125" s="55">
        <v>332374000</v>
      </c>
      <c r="Y1125" s="55">
        <v>0</v>
      </c>
      <c r="Z1125" s="55">
        <v>332374000</v>
      </c>
      <c r="AA1125" s="55">
        <v>109182000</v>
      </c>
      <c r="AB1125" s="55">
        <v>0</v>
      </c>
      <c r="AC1125" s="55">
        <v>109182000</v>
      </c>
      <c r="AD1125" s="55">
        <v>0</v>
      </c>
      <c r="AE1125" s="55">
        <v>0</v>
      </c>
      <c r="AF1125" s="55">
        <v>0</v>
      </c>
      <c r="AG1125" s="55">
        <v>0</v>
      </c>
      <c r="AH1125" s="55">
        <v>0</v>
      </c>
      <c r="AI1125" s="55">
        <v>0</v>
      </c>
      <c r="AJ1125" s="55">
        <v>3530682</v>
      </c>
      <c r="AK1125" s="55">
        <v>0</v>
      </c>
      <c r="AL1125" s="55">
        <v>44933</v>
      </c>
      <c r="AM1125" s="55">
        <v>839</v>
      </c>
      <c r="AN1125" s="55">
        <v>6979350</v>
      </c>
      <c r="AO1125" s="55">
        <v>2265300</v>
      </c>
      <c r="AQ1125" s="55">
        <v>25286004728690</v>
      </c>
      <c r="AR1125" s="55">
        <v>65813118000</v>
      </c>
      <c r="AS1125" s="55">
        <v>35480518000</v>
      </c>
      <c r="AT1125" s="55">
        <v>527002235150</v>
      </c>
      <c r="AU1125" s="55">
        <f t="shared" si="790"/>
        <v>36120079</v>
      </c>
      <c r="AV1125" s="99">
        <f t="shared" si="791"/>
        <v>40251605409.395996</v>
      </c>
    </row>
    <row r="1126" spans="1:48">
      <c r="A1126" s="92">
        <v>45317</v>
      </c>
      <c r="B1126" s="55">
        <v>104768914000</v>
      </c>
      <c r="C1126" s="55">
        <v>0</v>
      </c>
      <c r="D1126" s="55">
        <v>0</v>
      </c>
      <c r="E1126" s="55">
        <v>0</v>
      </c>
      <c r="F1126" s="55">
        <v>104768914000</v>
      </c>
      <c r="G1126" s="55">
        <v>28287607</v>
      </c>
      <c r="H1126" s="55">
        <v>400054000</v>
      </c>
      <c r="I1126" s="55">
        <v>0</v>
      </c>
      <c r="J1126" s="55">
        <v>400054000</v>
      </c>
      <c r="L1126" s="55">
        <v>2242102000</v>
      </c>
      <c r="M1126" s="55">
        <v>2730800000</v>
      </c>
      <c r="N1126" s="55">
        <v>4972902000</v>
      </c>
      <c r="O1126" s="55">
        <v>309199000</v>
      </c>
      <c r="P1126" s="55">
        <v>0</v>
      </c>
      <c r="Q1126" s="55">
        <v>309199000</v>
      </c>
      <c r="R1126" s="55">
        <v>1211017000</v>
      </c>
      <c r="S1126" s="55">
        <v>0</v>
      </c>
      <c r="T1126" s="55">
        <v>1211017000</v>
      </c>
      <c r="U1126" s="55">
        <v>204122000</v>
      </c>
      <c r="V1126" s="55">
        <v>0</v>
      </c>
      <c r="W1126" s="55">
        <v>204122000</v>
      </c>
      <c r="X1126" s="55">
        <v>3121000</v>
      </c>
      <c r="Y1126" s="55">
        <v>0</v>
      </c>
      <c r="Z1126" s="55">
        <v>3121000</v>
      </c>
      <c r="AA1126" s="55">
        <v>9789000</v>
      </c>
      <c r="AB1126" s="55">
        <v>1953000000</v>
      </c>
      <c r="AC1126" s="55">
        <v>1962789000</v>
      </c>
      <c r="AD1126" s="55">
        <v>0</v>
      </c>
      <c r="AE1126" s="55">
        <v>0</v>
      </c>
      <c r="AF1126" s="55">
        <v>0</v>
      </c>
      <c r="AG1126" s="55">
        <v>0</v>
      </c>
      <c r="AH1126" s="55">
        <v>2508000000</v>
      </c>
      <c r="AI1126" s="55">
        <v>2508000000</v>
      </c>
      <c r="AJ1126" s="55">
        <v>1767500</v>
      </c>
      <c r="AK1126" s="55">
        <v>0</v>
      </c>
      <c r="AL1126" s="55">
        <v>44933</v>
      </c>
      <c r="AM1126" s="55">
        <v>866</v>
      </c>
      <c r="AN1126" s="55">
        <v>27348750</v>
      </c>
      <c r="AO1126" s="55">
        <v>2338200</v>
      </c>
      <c r="AQ1126" s="55">
        <v>29076057580000</v>
      </c>
      <c r="AR1126" s="55">
        <v>28577344000</v>
      </c>
      <c r="AS1126" s="55">
        <v>19046765000</v>
      </c>
      <c r="AT1126" s="55">
        <v>512365939600.10999</v>
      </c>
      <c r="AU1126" s="55">
        <f t="shared" si="790"/>
        <v>59742057</v>
      </c>
      <c r="AV1126" s="99">
        <f t="shared" si="791"/>
        <v>40311347466.395996</v>
      </c>
    </row>
    <row r="1127" spans="1:48">
      <c r="A1127" s="92">
        <v>45320</v>
      </c>
      <c r="B1127" s="55">
        <v>123141629000</v>
      </c>
      <c r="C1127" s="55">
        <v>10530971600</v>
      </c>
      <c r="D1127" s="55">
        <v>0</v>
      </c>
      <c r="E1127" s="55">
        <v>0</v>
      </c>
      <c r="F1127" s="55">
        <v>133672600600</v>
      </c>
      <c r="G1127" s="55">
        <v>36091602</v>
      </c>
      <c r="H1127" s="55">
        <v>265225000</v>
      </c>
      <c r="I1127" s="55">
        <v>0</v>
      </c>
      <c r="J1127" s="55">
        <v>265225000</v>
      </c>
      <c r="L1127" s="55">
        <v>6369646000</v>
      </c>
      <c r="M1127" s="55">
        <v>0</v>
      </c>
      <c r="N1127" s="55">
        <v>6369646000</v>
      </c>
      <c r="O1127" s="55">
        <v>977846000</v>
      </c>
      <c r="P1127" s="55">
        <v>0</v>
      </c>
      <c r="Q1127" s="55">
        <v>977846000</v>
      </c>
      <c r="R1127" s="55">
        <v>191980000</v>
      </c>
      <c r="S1127" s="55">
        <v>0</v>
      </c>
      <c r="T1127" s="55">
        <v>191980000</v>
      </c>
      <c r="U1127" s="55">
        <v>276579000</v>
      </c>
      <c r="V1127" s="55">
        <v>0</v>
      </c>
      <c r="W1127" s="55">
        <v>276579000</v>
      </c>
      <c r="X1127" s="55">
        <v>782000</v>
      </c>
      <c r="Y1127" s="55">
        <v>0</v>
      </c>
      <c r="Z1127" s="55">
        <v>782000</v>
      </c>
      <c r="AA1127" s="55">
        <v>301559000</v>
      </c>
      <c r="AB1127" s="55">
        <v>0</v>
      </c>
      <c r="AC1127" s="55">
        <v>301559000</v>
      </c>
      <c r="AD1127" s="55">
        <v>0</v>
      </c>
      <c r="AE1127" s="55">
        <v>0</v>
      </c>
      <c r="AF1127" s="55">
        <v>0</v>
      </c>
      <c r="AG1127" s="55">
        <v>0</v>
      </c>
      <c r="AH1127" s="55">
        <v>0</v>
      </c>
      <c r="AI1127" s="55">
        <v>0</v>
      </c>
      <c r="AJ1127" s="55">
        <v>905431</v>
      </c>
      <c r="AK1127" s="55">
        <v>0</v>
      </c>
      <c r="AL1127" s="55">
        <v>44933</v>
      </c>
      <c r="AM1127" s="55">
        <v>647</v>
      </c>
      <c r="AN1127" s="55">
        <v>9741000</v>
      </c>
      <c r="AO1127" s="55">
        <v>1746900</v>
      </c>
      <c r="AQ1127" s="55">
        <v>31821573326000</v>
      </c>
      <c r="AR1127" s="55">
        <v>33938154000</v>
      </c>
      <c r="AS1127" s="55">
        <v>8629806000</v>
      </c>
      <c r="AT1127" s="55">
        <v>397180066600.10999</v>
      </c>
      <c r="AU1127" s="55">
        <f t="shared" si="790"/>
        <v>48484933</v>
      </c>
      <c r="AV1127" s="99">
        <f t="shared" si="791"/>
        <v>40359832399.395996</v>
      </c>
    </row>
    <row r="1128" spans="1:48">
      <c r="A1128" s="92">
        <v>45321</v>
      </c>
      <c r="B1128" s="55">
        <v>76621613000</v>
      </c>
      <c r="C1128" s="55">
        <v>0</v>
      </c>
      <c r="D1128" s="55">
        <v>0</v>
      </c>
      <c r="E1128" s="55">
        <v>0</v>
      </c>
      <c r="F1128" s="55">
        <v>76621613000</v>
      </c>
      <c r="G1128" s="55">
        <v>20687836</v>
      </c>
      <c r="H1128" s="55">
        <v>3351243000</v>
      </c>
      <c r="I1128" s="55">
        <v>0</v>
      </c>
      <c r="J1128" s="55">
        <v>3351243000</v>
      </c>
      <c r="L1128" s="55">
        <v>19587814000</v>
      </c>
      <c r="M1128" s="55">
        <v>5456400000</v>
      </c>
      <c r="N1128" s="55">
        <v>25044214000</v>
      </c>
      <c r="O1128" s="55">
        <v>274459000</v>
      </c>
      <c r="P1128" s="55">
        <v>0</v>
      </c>
      <c r="Q1128" s="55">
        <v>274459000</v>
      </c>
      <c r="R1128" s="55">
        <v>88846000</v>
      </c>
      <c r="S1128" s="55">
        <v>0</v>
      </c>
      <c r="T1128" s="55">
        <v>88846000</v>
      </c>
      <c r="U1128" s="55">
        <v>290546000</v>
      </c>
      <c r="V1128" s="55">
        <v>0</v>
      </c>
      <c r="W1128" s="55">
        <v>290546000</v>
      </c>
      <c r="X1128" s="55">
        <v>7785000</v>
      </c>
      <c r="Y1128" s="55">
        <v>0</v>
      </c>
      <c r="Z1128" s="55">
        <v>7785000</v>
      </c>
      <c r="AA1128" s="55">
        <v>155873000</v>
      </c>
      <c r="AB1128" s="55">
        <v>0</v>
      </c>
      <c r="AC1128" s="55">
        <v>155873000</v>
      </c>
      <c r="AD1128" s="55">
        <v>113900000</v>
      </c>
      <c r="AE1128" s="55">
        <v>0</v>
      </c>
      <c r="AF1128" s="55">
        <v>113900000</v>
      </c>
      <c r="AG1128" s="55">
        <v>0</v>
      </c>
      <c r="AH1128" s="55">
        <v>1941740000</v>
      </c>
      <c r="AI1128" s="55">
        <v>1941740000</v>
      </c>
      <c r="AJ1128" s="55">
        <v>3909676</v>
      </c>
      <c r="AK1128" s="55">
        <v>0</v>
      </c>
      <c r="AL1128" s="55">
        <v>44933</v>
      </c>
      <c r="AM1128" s="55">
        <v>679</v>
      </c>
      <c r="AN1128" s="55">
        <v>11395950</v>
      </c>
      <c r="AO1128" s="55">
        <v>1833300</v>
      </c>
      <c r="AQ1128" s="55">
        <v>31452346380000</v>
      </c>
      <c r="AR1128" s="55">
        <v>127091704000</v>
      </c>
      <c r="AS1128" s="55">
        <v>38783591000</v>
      </c>
      <c r="AT1128" s="55">
        <v>293775151000.10999</v>
      </c>
      <c r="AU1128" s="55">
        <f>G1128+AJ1128+AK1128+AN1128+AO1128+AP1128</f>
        <v>37826762</v>
      </c>
      <c r="AV1128" s="99">
        <f>AV1127+AU1128</f>
        <v>40397659161.395996</v>
      </c>
    </row>
    <row r="1129" spans="1:48" s="71" customFormat="1">
      <c r="A1129" s="155">
        <v>45322</v>
      </c>
      <c r="B1129" s="156">
        <v>89996564000</v>
      </c>
      <c r="C1129" s="156">
        <v>0</v>
      </c>
      <c r="D1129" s="156">
        <v>0</v>
      </c>
      <c r="E1129" s="156">
        <v>0</v>
      </c>
      <c r="F1129" s="156">
        <v>89996564000</v>
      </c>
      <c r="G1129" s="156">
        <v>24299072</v>
      </c>
      <c r="H1129" s="156">
        <v>2051122000</v>
      </c>
      <c r="I1129" s="156">
        <v>6091300000</v>
      </c>
      <c r="J1129" s="156">
        <v>8142422000</v>
      </c>
      <c r="K1129" s="156"/>
      <c r="L1129" s="156">
        <v>4445820000</v>
      </c>
      <c r="M1129" s="156">
        <v>0</v>
      </c>
      <c r="N1129" s="156">
        <v>4445820000</v>
      </c>
      <c r="O1129" s="156">
        <v>4646612000</v>
      </c>
      <c r="P1129" s="156">
        <v>0</v>
      </c>
      <c r="Q1129" s="156">
        <v>4646612000</v>
      </c>
      <c r="R1129" s="156">
        <v>589718000</v>
      </c>
      <c r="S1129" s="156">
        <v>0</v>
      </c>
      <c r="T1129" s="156">
        <v>589718000</v>
      </c>
      <c r="U1129" s="156">
        <v>487076000</v>
      </c>
      <c r="V1129" s="156">
        <v>0</v>
      </c>
      <c r="W1129" s="156">
        <v>487076000</v>
      </c>
      <c r="X1129" s="156">
        <v>264752000</v>
      </c>
      <c r="Y1129" s="156">
        <v>0</v>
      </c>
      <c r="Z1129" s="156">
        <v>264752000</v>
      </c>
      <c r="AA1129" s="156">
        <v>300169000</v>
      </c>
      <c r="AB1129" s="156">
        <v>0</v>
      </c>
      <c r="AC1129" s="156">
        <v>300169000</v>
      </c>
      <c r="AD1129" s="156">
        <v>0</v>
      </c>
      <c r="AE1129" s="156">
        <v>0</v>
      </c>
      <c r="AF1129" s="156">
        <v>0</v>
      </c>
      <c r="AG1129" s="156">
        <v>0</v>
      </c>
      <c r="AH1129" s="156">
        <v>0</v>
      </c>
      <c r="AI1129" s="156">
        <v>0</v>
      </c>
      <c r="AJ1129" s="156">
        <v>2477243</v>
      </c>
      <c r="AK1129" s="156">
        <v>0</v>
      </c>
      <c r="AL1129" s="156">
        <v>44933</v>
      </c>
      <c r="AM1129" s="156">
        <v>899</v>
      </c>
      <c r="AN1129" s="156">
        <v>10332600</v>
      </c>
      <c r="AO1129" s="156">
        <v>2427300</v>
      </c>
      <c r="AP1129" s="156">
        <f>98338865+(-7405785.50006104)</f>
        <v>90933079.499938965</v>
      </c>
      <c r="AQ1129" s="156">
        <v>53937230815200</v>
      </c>
      <c r="AR1129" s="156">
        <v>68789728000</v>
      </c>
      <c r="AS1129" s="156">
        <v>25714241000</v>
      </c>
      <c r="AT1129" s="156">
        <v>203970288000.10999</v>
      </c>
      <c r="AU1129" s="156">
        <f>G1129+AJ1129+AK1129+AN1129+AO1129+AP1129</f>
        <v>130469294.49993896</v>
      </c>
      <c r="AV1129" s="115">
        <f t="shared" si="791"/>
        <v>40528128455.895935</v>
      </c>
    </row>
    <row r="1130" spans="1:48">
      <c r="A1130" s="92">
        <v>45323</v>
      </c>
      <c r="B1130" s="55">
        <v>84968868000</v>
      </c>
      <c r="C1130" s="55">
        <v>0</v>
      </c>
      <c r="D1130" s="55">
        <v>0</v>
      </c>
      <c r="E1130" s="55">
        <v>0</v>
      </c>
      <c r="F1130" s="55">
        <v>84968868000</v>
      </c>
      <c r="G1130" s="55">
        <v>22941594</v>
      </c>
      <c r="H1130" s="55">
        <v>21076163000</v>
      </c>
      <c r="I1130" s="55">
        <v>8082000000</v>
      </c>
      <c r="J1130" s="55">
        <v>29158163000</v>
      </c>
      <c r="L1130" s="55">
        <v>30794164000</v>
      </c>
      <c r="M1130" s="55">
        <v>2728200000</v>
      </c>
      <c r="N1130" s="55">
        <v>33522364000</v>
      </c>
      <c r="O1130" s="55">
        <v>1473872000</v>
      </c>
      <c r="P1130" s="55">
        <v>0</v>
      </c>
      <c r="Q1130" s="55">
        <v>1473872000</v>
      </c>
      <c r="R1130" s="55">
        <v>674603000</v>
      </c>
      <c r="S1130" s="55">
        <v>0</v>
      </c>
      <c r="T1130" s="55">
        <v>674603000</v>
      </c>
      <c r="U1130" s="55">
        <v>50618000</v>
      </c>
      <c r="V1130" s="55">
        <v>0</v>
      </c>
      <c r="W1130" s="55">
        <v>50618000</v>
      </c>
      <c r="X1130" s="55">
        <v>1548000</v>
      </c>
      <c r="Y1130" s="55">
        <v>0</v>
      </c>
      <c r="Z1130" s="55">
        <v>1548000</v>
      </c>
      <c r="AA1130" s="55">
        <v>23979000</v>
      </c>
      <c r="AB1130" s="55">
        <v>0</v>
      </c>
      <c r="AC1130" s="55">
        <v>23979000</v>
      </c>
      <c r="AD1130" s="55">
        <v>0</v>
      </c>
      <c r="AE1130" s="55">
        <v>0</v>
      </c>
      <c r="AF1130" s="55">
        <v>0</v>
      </c>
      <c r="AG1130" s="55">
        <v>0</v>
      </c>
      <c r="AH1130" s="55">
        <v>0</v>
      </c>
      <c r="AI1130" s="55">
        <v>0</v>
      </c>
      <c r="AJ1130" s="55">
        <v>7788090</v>
      </c>
      <c r="AK1130" s="55">
        <v>0</v>
      </c>
      <c r="AL1130" s="55">
        <v>44933</v>
      </c>
      <c r="AM1130" s="55">
        <v>1344</v>
      </c>
      <c r="AN1130" s="55">
        <v>12076800</v>
      </c>
      <c r="AO1130" s="55">
        <v>3628800</v>
      </c>
      <c r="AQ1130" s="55">
        <v>34143898568400</v>
      </c>
      <c r="AR1130" s="55">
        <v>216681242000</v>
      </c>
      <c r="AS1130" s="55">
        <v>75736332000</v>
      </c>
      <c r="AT1130" s="55">
        <v>160705200000</v>
      </c>
      <c r="AU1130" s="55">
        <f>G1130+AJ1130+AK1130+AN1130+AO1130+AP1130</f>
        <v>46435284</v>
      </c>
      <c r="AV1130" s="99">
        <f t="shared" ref="AV1130:AV1145" si="792">AV1129+AU1130</f>
        <v>40574563739.895935</v>
      </c>
    </row>
    <row r="1131" spans="1:48">
      <c r="A1131" s="92">
        <v>45324</v>
      </c>
      <c r="B1131" s="55">
        <v>145669623000</v>
      </c>
      <c r="C1131" s="55">
        <v>0</v>
      </c>
      <c r="D1131" s="55">
        <v>0</v>
      </c>
      <c r="E1131" s="55">
        <v>0</v>
      </c>
      <c r="F1131" s="55">
        <v>145669623000</v>
      </c>
      <c r="G1131" s="55">
        <v>39330798</v>
      </c>
      <c r="H1131" s="55">
        <v>32422731000</v>
      </c>
      <c r="I1131" s="55">
        <v>0</v>
      </c>
      <c r="J1131" s="55">
        <v>32422731000</v>
      </c>
      <c r="L1131" s="55">
        <v>87805000</v>
      </c>
      <c r="M1131" s="55">
        <v>0</v>
      </c>
      <c r="N1131" s="55">
        <v>87805000</v>
      </c>
      <c r="O1131" s="55">
        <v>2128218000</v>
      </c>
      <c r="P1131" s="55">
        <v>0</v>
      </c>
      <c r="Q1131" s="55">
        <v>2128218000</v>
      </c>
      <c r="R1131" s="55">
        <v>968435000</v>
      </c>
      <c r="S1131" s="55">
        <v>0</v>
      </c>
      <c r="T1131" s="55">
        <v>968435000</v>
      </c>
      <c r="U1131" s="55">
        <v>561054000</v>
      </c>
      <c r="V1131" s="55">
        <v>0</v>
      </c>
      <c r="W1131" s="55">
        <v>561054000</v>
      </c>
      <c r="X1131" s="55">
        <v>773000</v>
      </c>
      <c r="Y1131" s="55">
        <v>0</v>
      </c>
      <c r="Z1131" s="55">
        <v>773000</v>
      </c>
      <c r="AA1131" s="55">
        <v>219633000</v>
      </c>
      <c r="AB1131" s="55">
        <v>0</v>
      </c>
      <c r="AC1131" s="55">
        <v>219633000</v>
      </c>
      <c r="AD1131" s="55">
        <v>0</v>
      </c>
      <c r="AE1131" s="55">
        <v>0</v>
      </c>
      <c r="AF1131" s="55">
        <v>0</v>
      </c>
      <c r="AG1131" s="55">
        <v>0</v>
      </c>
      <c r="AH1131" s="55">
        <v>0</v>
      </c>
      <c r="AI1131" s="55">
        <v>0</v>
      </c>
      <c r="AJ1131" s="55">
        <v>3929974</v>
      </c>
      <c r="AK1131" s="55">
        <v>0</v>
      </c>
      <c r="AL1131" s="55">
        <v>44933</v>
      </c>
      <c r="AM1131" s="55">
        <v>1693</v>
      </c>
      <c r="AN1131" s="55">
        <v>32382450</v>
      </c>
      <c r="AO1131" s="55">
        <v>4571100</v>
      </c>
      <c r="AQ1131" s="55">
        <v>45281021596800</v>
      </c>
      <c r="AR1131" s="55">
        <v>116171244000</v>
      </c>
      <c r="AS1131" s="55">
        <v>36632614000</v>
      </c>
      <c r="AT1131" s="55">
        <v>182302237000</v>
      </c>
      <c r="AU1131" s="55">
        <f t="shared" ref="AU1131:AU1145" si="793">G1131+AJ1131+AK1131+AN1131+AO1131+AP1131</f>
        <v>80214322</v>
      </c>
      <c r="AV1131" s="99">
        <f t="shared" si="792"/>
        <v>40654778061.895935</v>
      </c>
    </row>
    <row r="1132" spans="1:48">
      <c r="A1132" s="92">
        <v>45327</v>
      </c>
      <c r="B1132" s="55">
        <v>239829453000</v>
      </c>
      <c r="C1132" s="55">
        <v>0</v>
      </c>
      <c r="D1132" s="55">
        <v>0</v>
      </c>
      <c r="E1132" s="55">
        <v>0</v>
      </c>
      <c r="F1132" s="55">
        <v>239829453000</v>
      </c>
      <c r="G1132" s="55">
        <v>64753952</v>
      </c>
      <c r="H1132" s="55">
        <v>27023928000</v>
      </c>
      <c r="I1132" s="55">
        <v>16442400000</v>
      </c>
      <c r="J1132" s="55">
        <v>43466328000</v>
      </c>
      <c r="L1132" s="55">
        <v>18443413000</v>
      </c>
      <c r="M1132" s="55">
        <v>11075400000</v>
      </c>
      <c r="N1132" s="55">
        <v>29518813000</v>
      </c>
      <c r="O1132" s="55">
        <v>1980677000</v>
      </c>
      <c r="P1132" s="55">
        <v>0</v>
      </c>
      <c r="Q1132" s="55">
        <v>1980677000</v>
      </c>
      <c r="R1132" s="55">
        <v>392458000</v>
      </c>
      <c r="S1132" s="55">
        <v>0</v>
      </c>
      <c r="T1132" s="55">
        <v>392458000</v>
      </c>
      <c r="U1132" s="55">
        <v>421566000</v>
      </c>
      <c r="V1132" s="55">
        <v>0</v>
      </c>
      <c r="W1132" s="55">
        <v>421566000</v>
      </c>
      <c r="X1132" s="55">
        <v>807000</v>
      </c>
      <c r="Y1132" s="55">
        <v>0</v>
      </c>
      <c r="Z1132" s="55">
        <v>807000</v>
      </c>
      <c r="AA1132" s="55">
        <v>773911000</v>
      </c>
      <c r="AB1132" s="55">
        <v>0</v>
      </c>
      <c r="AC1132" s="55">
        <v>773911000</v>
      </c>
      <c r="AD1132" s="55">
        <v>3405000</v>
      </c>
      <c r="AE1132" s="55">
        <v>0</v>
      </c>
      <c r="AF1132" s="55">
        <v>3405000</v>
      </c>
      <c r="AG1132" s="55">
        <v>0</v>
      </c>
      <c r="AH1132" s="55">
        <v>0</v>
      </c>
      <c r="AI1132" s="55">
        <v>0</v>
      </c>
      <c r="AJ1132" s="55">
        <v>10249542</v>
      </c>
      <c r="AK1132" s="55">
        <v>0</v>
      </c>
      <c r="AL1132" s="55">
        <v>44933</v>
      </c>
      <c r="AM1132" s="55">
        <v>3110</v>
      </c>
      <c r="AN1132" s="55">
        <v>13140150</v>
      </c>
      <c r="AO1132" s="55">
        <v>8397000</v>
      </c>
      <c r="AQ1132" s="55">
        <v>42482813476400</v>
      </c>
      <c r="AR1132" s="55">
        <v>223209848000</v>
      </c>
      <c r="AS1132" s="55">
        <v>104309505000</v>
      </c>
      <c r="AT1132" s="55">
        <v>344138958000</v>
      </c>
      <c r="AU1132" s="55">
        <f t="shared" si="793"/>
        <v>96540644</v>
      </c>
      <c r="AV1132" s="99">
        <f t="shared" si="792"/>
        <v>40751318705.895935</v>
      </c>
    </row>
    <row r="1133" spans="1:48">
      <c r="A1133" s="92">
        <v>45328</v>
      </c>
      <c r="B1133" s="55">
        <v>35064719000</v>
      </c>
      <c r="C1133" s="55">
        <v>0</v>
      </c>
      <c r="D1133" s="55">
        <v>0</v>
      </c>
      <c r="E1133" s="55">
        <v>0</v>
      </c>
      <c r="F1133" s="55">
        <v>35064719000</v>
      </c>
      <c r="G1133" s="55">
        <v>9467474</v>
      </c>
      <c r="H1133" s="55">
        <v>91191000</v>
      </c>
      <c r="I1133" s="55">
        <v>2070600000</v>
      </c>
      <c r="J1133" s="55">
        <v>2161791000</v>
      </c>
      <c r="L1133" s="55">
        <v>3440567000</v>
      </c>
      <c r="M1133" s="55">
        <v>5593500000</v>
      </c>
      <c r="N1133" s="55">
        <v>9034067000</v>
      </c>
      <c r="O1133" s="55">
        <v>7811296000</v>
      </c>
      <c r="P1133" s="55">
        <v>0</v>
      </c>
      <c r="Q1133" s="55">
        <v>7811296000</v>
      </c>
      <c r="R1133" s="55">
        <v>238805000</v>
      </c>
      <c r="S1133" s="55">
        <v>0</v>
      </c>
      <c r="T1133" s="55">
        <v>238805000</v>
      </c>
      <c r="U1133" s="55">
        <v>497971000</v>
      </c>
      <c r="V1133" s="55">
        <v>0</v>
      </c>
      <c r="W1133" s="55">
        <v>497971000</v>
      </c>
      <c r="X1133" s="55">
        <v>0</v>
      </c>
      <c r="Y1133" s="55">
        <v>0</v>
      </c>
      <c r="Z1133" s="55">
        <v>0</v>
      </c>
      <c r="AA1133" s="55">
        <v>350426000</v>
      </c>
      <c r="AB1133" s="55">
        <v>0</v>
      </c>
      <c r="AC1133" s="55">
        <v>350426000</v>
      </c>
      <c r="AD1133" s="55">
        <v>0</v>
      </c>
      <c r="AE1133" s="55">
        <v>0</v>
      </c>
      <c r="AF1133" s="55">
        <v>0</v>
      </c>
      <c r="AG1133" s="55">
        <v>0</v>
      </c>
      <c r="AH1133" s="55">
        <v>0</v>
      </c>
      <c r="AI1133" s="55">
        <v>0</v>
      </c>
      <c r="AJ1133" s="55">
        <v>2722006</v>
      </c>
      <c r="AK1133" s="55">
        <v>0</v>
      </c>
      <c r="AL1133" s="55">
        <v>44933</v>
      </c>
      <c r="AM1133" s="55">
        <v>1737</v>
      </c>
      <c r="AN1133" s="55">
        <v>12755100</v>
      </c>
      <c r="AO1133" s="55">
        <v>4689900</v>
      </c>
      <c r="AQ1133" s="55">
        <v>33787447820000</v>
      </c>
      <c r="AR1133" s="55">
        <v>93836842000</v>
      </c>
      <c r="AS1133" s="55">
        <v>27758456000</v>
      </c>
      <c r="AT1133" s="55">
        <v>62823175000</v>
      </c>
      <c r="AU1133" s="55">
        <f t="shared" si="793"/>
        <v>29634480</v>
      </c>
      <c r="AV1133" s="99">
        <f t="shared" si="792"/>
        <v>40780953185.895935</v>
      </c>
    </row>
    <row r="1134" spans="1:48">
      <c r="A1134" s="92">
        <v>45329</v>
      </c>
      <c r="B1134" s="55">
        <v>57284161000</v>
      </c>
      <c r="C1134" s="55">
        <v>0</v>
      </c>
      <c r="D1134" s="55">
        <v>0</v>
      </c>
      <c r="E1134" s="55">
        <v>0</v>
      </c>
      <c r="F1134" s="55">
        <v>57284161000</v>
      </c>
      <c r="G1134" s="55">
        <v>15466723</v>
      </c>
      <c r="H1134" s="55">
        <v>2058735000</v>
      </c>
      <c r="I1134" s="55">
        <v>4185200000</v>
      </c>
      <c r="J1134" s="55">
        <v>6243935000</v>
      </c>
      <c r="L1134" s="55">
        <v>4162472000</v>
      </c>
      <c r="M1134" s="55">
        <v>8487900000</v>
      </c>
      <c r="N1134" s="55">
        <v>12650372000</v>
      </c>
      <c r="O1134" s="55">
        <v>2868922000</v>
      </c>
      <c r="P1134" s="55">
        <v>0</v>
      </c>
      <c r="Q1134" s="55">
        <v>2868922000</v>
      </c>
      <c r="R1134" s="55">
        <v>1894578000</v>
      </c>
      <c r="S1134" s="55">
        <v>0</v>
      </c>
      <c r="T1134" s="55">
        <v>1894578000</v>
      </c>
      <c r="U1134" s="55">
        <v>108541000</v>
      </c>
      <c r="V1134" s="55">
        <v>0</v>
      </c>
      <c r="W1134" s="55">
        <v>108541000</v>
      </c>
      <c r="X1134" s="55">
        <v>19889000</v>
      </c>
      <c r="Y1134" s="55">
        <v>0</v>
      </c>
      <c r="Z1134" s="55">
        <v>19889000</v>
      </c>
      <c r="AA1134" s="55">
        <v>54502000</v>
      </c>
      <c r="AB1134" s="55">
        <v>0</v>
      </c>
      <c r="AC1134" s="55">
        <v>54502000</v>
      </c>
      <c r="AD1134" s="55">
        <v>4644000</v>
      </c>
      <c r="AE1134" s="55">
        <v>0</v>
      </c>
      <c r="AF1134" s="55">
        <v>4644000</v>
      </c>
      <c r="AG1134" s="55">
        <v>0</v>
      </c>
      <c r="AH1134" s="55">
        <v>0</v>
      </c>
      <c r="AI1134" s="55">
        <v>0</v>
      </c>
      <c r="AJ1134" s="55">
        <v>3487765</v>
      </c>
      <c r="AK1134" s="55">
        <v>0</v>
      </c>
      <c r="AL1134" s="55">
        <v>44933</v>
      </c>
      <c r="AM1134" s="55">
        <v>4482</v>
      </c>
      <c r="AN1134" s="55">
        <v>13025400</v>
      </c>
      <c r="AO1134" s="55">
        <v>12101400</v>
      </c>
      <c r="AQ1134" s="55">
        <v>34365506188000</v>
      </c>
      <c r="AR1134" s="55">
        <v>78883304000</v>
      </c>
      <c r="AS1134" s="55">
        <v>36546633000</v>
      </c>
      <c r="AT1134" s="55">
        <v>93830794000</v>
      </c>
      <c r="AU1134" s="55">
        <f t="shared" si="793"/>
        <v>44081288</v>
      </c>
      <c r="AV1134" s="99">
        <f t="shared" si="792"/>
        <v>40825034473.895935</v>
      </c>
    </row>
    <row r="1135" spans="1:48">
      <c r="A1135" s="92">
        <v>45337</v>
      </c>
      <c r="B1135" s="55">
        <v>154553191000</v>
      </c>
      <c r="C1135" s="55">
        <v>0</v>
      </c>
      <c r="D1135" s="55">
        <v>0</v>
      </c>
      <c r="E1135" s="55">
        <v>0</v>
      </c>
      <c r="F1135" s="55">
        <v>154553191000</v>
      </c>
      <c r="G1135" s="55">
        <v>41729362</v>
      </c>
      <c r="H1135" s="55">
        <v>5421335000</v>
      </c>
      <c r="I1135" s="55">
        <v>8431800000</v>
      </c>
      <c r="J1135" s="55">
        <v>13853135000</v>
      </c>
      <c r="L1135" s="55">
        <v>2076198000</v>
      </c>
      <c r="M1135" s="55">
        <v>31204600000</v>
      </c>
      <c r="N1135" s="55">
        <v>33280798000</v>
      </c>
      <c r="O1135" s="55">
        <v>9958425000</v>
      </c>
      <c r="P1135" s="55">
        <v>0</v>
      </c>
      <c r="Q1135" s="55">
        <v>9958425000</v>
      </c>
      <c r="R1135" s="55">
        <v>535233000</v>
      </c>
      <c r="S1135" s="55">
        <v>0</v>
      </c>
      <c r="T1135" s="55">
        <v>535233000</v>
      </c>
      <c r="U1135" s="55">
        <v>695733000</v>
      </c>
      <c r="V1135" s="55">
        <v>0</v>
      </c>
      <c r="W1135" s="55">
        <v>695733000</v>
      </c>
      <c r="X1135" s="55">
        <v>354905000</v>
      </c>
      <c r="Y1135" s="55">
        <v>0</v>
      </c>
      <c r="Z1135" s="55">
        <v>354905000</v>
      </c>
      <c r="AA1135" s="55">
        <v>260796000</v>
      </c>
      <c r="AB1135" s="55">
        <v>0</v>
      </c>
      <c r="AC1135" s="55">
        <v>260796000</v>
      </c>
      <c r="AD1135" s="55">
        <v>41343000</v>
      </c>
      <c r="AE1135" s="55">
        <v>0</v>
      </c>
      <c r="AF1135" s="55">
        <v>41343000</v>
      </c>
      <c r="AG1135" s="55">
        <v>0</v>
      </c>
      <c r="AH1135" s="55">
        <v>0</v>
      </c>
      <c r="AI1135" s="55">
        <v>0</v>
      </c>
      <c r="AJ1135" s="55">
        <v>9223701</v>
      </c>
      <c r="AK1135" s="55">
        <v>0</v>
      </c>
      <c r="AL1135" s="55">
        <v>44933</v>
      </c>
      <c r="AM1135" s="55">
        <v>3336</v>
      </c>
      <c r="AN1135" s="55">
        <v>10985400</v>
      </c>
      <c r="AO1135" s="55">
        <v>9007200</v>
      </c>
      <c r="AQ1135" s="55">
        <v>42313461704000</v>
      </c>
      <c r="AR1135" s="55">
        <v>187062084000</v>
      </c>
      <c r="AS1135" s="55">
        <v>98833493000</v>
      </c>
      <c r="AT1135" s="55">
        <v>253386684000</v>
      </c>
      <c r="AU1135" s="55">
        <f t="shared" si="793"/>
        <v>70945663</v>
      </c>
      <c r="AV1135" s="99">
        <f t="shared" si="792"/>
        <v>40895980136.895935</v>
      </c>
    </row>
    <row r="1136" spans="1:48">
      <c r="A1136" s="92">
        <v>45338</v>
      </c>
      <c r="B1136" s="55">
        <v>153721615000</v>
      </c>
      <c r="C1136" s="55">
        <v>39089013400</v>
      </c>
      <c r="D1136" s="55">
        <v>0</v>
      </c>
      <c r="E1136" s="55">
        <v>0</v>
      </c>
      <c r="F1136" s="55">
        <v>192810628400</v>
      </c>
      <c r="G1136" s="55">
        <v>52058870</v>
      </c>
      <c r="H1136" s="55">
        <v>7603121000</v>
      </c>
      <c r="I1136" s="55">
        <v>4218800000</v>
      </c>
      <c r="J1136" s="55">
        <v>11821921000</v>
      </c>
      <c r="L1136" s="55">
        <v>20793516000</v>
      </c>
      <c r="M1136" s="55">
        <v>39682400000</v>
      </c>
      <c r="N1136" s="55">
        <v>60475916000</v>
      </c>
      <c r="O1136" s="55">
        <v>5637020000</v>
      </c>
      <c r="P1136" s="55">
        <v>0</v>
      </c>
      <c r="Q1136" s="55">
        <v>5637020000</v>
      </c>
      <c r="R1136" s="55">
        <v>548361000</v>
      </c>
      <c r="S1136" s="55">
        <v>0</v>
      </c>
      <c r="T1136" s="55">
        <v>548361000</v>
      </c>
      <c r="U1136" s="55">
        <v>320216000</v>
      </c>
      <c r="V1136" s="55">
        <v>0</v>
      </c>
      <c r="W1136" s="55">
        <v>320216000</v>
      </c>
      <c r="X1136" s="55">
        <v>20849000</v>
      </c>
      <c r="Y1136" s="55">
        <v>0</v>
      </c>
      <c r="Z1136" s="55">
        <v>20849000</v>
      </c>
      <c r="AA1136" s="55">
        <v>581152000</v>
      </c>
      <c r="AB1136" s="55">
        <v>0</v>
      </c>
      <c r="AC1136" s="55">
        <v>581152000</v>
      </c>
      <c r="AD1136" s="55">
        <v>0</v>
      </c>
      <c r="AE1136" s="55">
        <v>0</v>
      </c>
      <c r="AF1136" s="55">
        <v>0</v>
      </c>
      <c r="AG1136" s="55">
        <v>0</v>
      </c>
      <c r="AH1136" s="55">
        <v>0</v>
      </c>
      <c r="AI1136" s="55">
        <v>0</v>
      </c>
      <c r="AJ1136" s="55">
        <v>11736673</v>
      </c>
      <c r="AK1136" s="55">
        <v>0</v>
      </c>
      <c r="AL1136" s="55">
        <v>44933</v>
      </c>
      <c r="AM1136" s="55">
        <v>1335</v>
      </c>
      <c r="AN1136" s="55">
        <v>31892850</v>
      </c>
      <c r="AO1136" s="55">
        <v>3604500</v>
      </c>
      <c r="AQ1136" s="55">
        <v>39958690495000</v>
      </c>
      <c r="AR1136" s="55">
        <v>234198822000</v>
      </c>
      <c r="AS1136" s="55">
        <v>123547058000</v>
      </c>
      <c r="AT1136" s="55">
        <v>316357686400</v>
      </c>
      <c r="AU1136" s="55">
        <f t="shared" si="793"/>
        <v>99292893</v>
      </c>
      <c r="AV1136" s="99">
        <f t="shared" si="792"/>
        <v>40995273029.895935</v>
      </c>
    </row>
    <row r="1137" spans="1:48">
      <c r="A1137" s="92">
        <v>45341</v>
      </c>
      <c r="B1137" s="55">
        <v>181991085000</v>
      </c>
      <c r="C1137" s="55">
        <v>0</v>
      </c>
      <c r="D1137" s="55">
        <v>0</v>
      </c>
      <c r="E1137" s="55">
        <v>0</v>
      </c>
      <c r="F1137" s="55">
        <v>181991085000</v>
      </c>
      <c r="G1137" s="55">
        <v>49137593</v>
      </c>
      <c r="H1137" s="55">
        <v>12260014000</v>
      </c>
      <c r="I1137" s="55">
        <v>21118600000</v>
      </c>
      <c r="J1137" s="55">
        <v>33378614000</v>
      </c>
      <c r="L1137" s="55">
        <v>27178201000</v>
      </c>
      <c r="M1137" s="55">
        <v>11363000000</v>
      </c>
      <c r="N1137" s="55">
        <v>38541201000</v>
      </c>
      <c r="O1137" s="55">
        <v>8472325000</v>
      </c>
      <c r="P1137" s="55">
        <v>0</v>
      </c>
      <c r="Q1137" s="55">
        <v>8472325000</v>
      </c>
      <c r="R1137" s="55">
        <v>681819000</v>
      </c>
      <c r="S1137" s="55">
        <v>0</v>
      </c>
      <c r="T1137" s="55">
        <v>681819000</v>
      </c>
      <c r="U1137" s="55">
        <v>359735000</v>
      </c>
      <c r="V1137" s="55">
        <v>0</v>
      </c>
      <c r="W1137" s="55">
        <v>359735000</v>
      </c>
      <c r="X1137" s="55">
        <v>412450000</v>
      </c>
      <c r="Y1137" s="55">
        <v>0</v>
      </c>
      <c r="Z1137" s="55">
        <v>412450000</v>
      </c>
      <c r="AA1137" s="55">
        <v>2255000</v>
      </c>
      <c r="AB1137" s="55">
        <v>0</v>
      </c>
      <c r="AC1137" s="55">
        <v>2255000</v>
      </c>
      <c r="AD1137" s="55">
        <v>23450000</v>
      </c>
      <c r="AE1137" s="55">
        <v>0</v>
      </c>
      <c r="AF1137" s="55">
        <v>23450000</v>
      </c>
      <c r="AG1137" s="55">
        <v>0</v>
      </c>
      <c r="AH1137" s="55">
        <v>0</v>
      </c>
      <c r="AI1137" s="55">
        <v>0</v>
      </c>
      <c r="AJ1137" s="55">
        <v>11180835</v>
      </c>
      <c r="AK1137" s="55">
        <v>0</v>
      </c>
      <c r="AL1137" s="55">
        <v>44933</v>
      </c>
      <c r="AM1137" s="55">
        <v>1680</v>
      </c>
      <c r="AN1137" s="55">
        <v>9320250</v>
      </c>
      <c r="AO1137" s="55">
        <v>4536000</v>
      </c>
      <c r="AQ1137" s="55">
        <v>58135103186200</v>
      </c>
      <c r="AR1137" s="55">
        <v>201381318000</v>
      </c>
      <c r="AS1137" s="55">
        <v>114588589000</v>
      </c>
      <c r="AT1137" s="55">
        <v>296579674000</v>
      </c>
      <c r="AU1137" s="55">
        <f t="shared" si="793"/>
        <v>74174678</v>
      </c>
      <c r="AV1137" s="99">
        <f t="shared" si="792"/>
        <v>41069447707.895935</v>
      </c>
    </row>
    <row r="1138" spans="1:48">
      <c r="A1138" s="92">
        <v>45342</v>
      </c>
      <c r="B1138" s="55">
        <v>126190240000</v>
      </c>
      <c r="C1138" s="55">
        <v>0</v>
      </c>
      <c r="D1138" s="55">
        <v>0</v>
      </c>
      <c r="E1138" s="55">
        <v>0</v>
      </c>
      <c r="F1138" s="55">
        <v>126190240000</v>
      </c>
      <c r="G1138" s="55">
        <v>34071365</v>
      </c>
      <c r="H1138" s="55">
        <v>519323000</v>
      </c>
      <c r="I1138" s="55">
        <v>19244900000</v>
      </c>
      <c r="J1138" s="55">
        <v>19764223000</v>
      </c>
      <c r="L1138" s="55">
        <v>15070651000</v>
      </c>
      <c r="M1138" s="55">
        <v>0</v>
      </c>
      <c r="N1138" s="55">
        <v>15070651000</v>
      </c>
      <c r="O1138" s="55">
        <v>26533000</v>
      </c>
      <c r="P1138" s="55">
        <v>0</v>
      </c>
      <c r="Q1138" s="55">
        <v>26533000</v>
      </c>
      <c r="R1138" s="55">
        <v>64409000</v>
      </c>
      <c r="S1138" s="55">
        <v>0</v>
      </c>
      <c r="T1138" s="55">
        <v>64409000</v>
      </c>
      <c r="U1138" s="55">
        <v>32170000</v>
      </c>
      <c r="V1138" s="55">
        <v>0</v>
      </c>
      <c r="W1138" s="55">
        <v>32170000</v>
      </c>
      <c r="X1138" s="55">
        <v>45646000</v>
      </c>
      <c r="Y1138" s="55">
        <v>0</v>
      </c>
      <c r="Z1138" s="55">
        <v>45646000</v>
      </c>
      <c r="AA1138" s="55">
        <v>21389000</v>
      </c>
      <c r="AB1138" s="55">
        <v>0</v>
      </c>
      <c r="AC1138" s="55">
        <v>21389000</v>
      </c>
      <c r="AD1138" s="55">
        <v>1183000</v>
      </c>
      <c r="AE1138" s="55">
        <v>0</v>
      </c>
      <c r="AF1138" s="55">
        <v>1183000</v>
      </c>
      <c r="AG1138" s="55">
        <v>0</v>
      </c>
      <c r="AH1138" s="55">
        <v>0</v>
      </c>
      <c r="AI1138" s="55">
        <v>0</v>
      </c>
      <c r="AJ1138" s="55">
        <v>5168463</v>
      </c>
      <c r="AK1138" s="55">
        <v>0</v>
      </c>
      <c r="AL1138" s="55">
        <v>44933</v>
      </c>
      <c r="AM1138" s="55">
        <v>1247</v>
      </c>
      <c r="AN1138" s="55">
        <v>9256500</v>
      </c>
      <c r="AO1138" s="55">
        <v>3366900</v>
      </c>
      <c r="AQ1138" s="55">
        <v>47360365266000</v>
      </c>
      <c r="AR1138" s="55">
        <v>163608810000</v>
      </c>
      <c r="AS1138" s="55">
        <v>54271104000</v>
      </c>
      <c r="AT1138" s="55">
        <v>180461344000</v>
      </c>
      <c r="AU1138" s="55">
        <f t="shared" si="793"/>
        <v>51863228</v>
      </c>
      <c r="AV1138" s="99">
        <f t="shared" si="792"/>
        <v>41121310935.895935</v>
      </c>
    </row>
    <row r="1139" spans="1:48">
      <c r="A1139" s="92">
        <v>45343</v>
      </c>
      <c r="B1139" s="55">
        <v>138338139000</v>
      </c>
      <c r="C1139" s="55">
        <v>10881960000</v>
      </c>
      <c r="D1139" s="55">
        <v>0</v>
      </c>
      <c r="E1139" s="55">
        <v>0</v>
      </c>
      <c r="F1139" s="55">
        <v>149220099000</v>
      </c>
      <c r="G1139" s="55">
        <v>40289427</v>
      </c>
      <c r="H1139" s="55">
        <v>3479929000</v>
      </c>
      <c r="I1139" s="55">
        <v>14985800000</v>
      </c>
      <c r="J1139" s="55">
        <v>18465729000</v>
      </c>
      <c r="L1139" s="55">
        <v>7608136000</v>
      </c>
      <c r="M1139" s="55">
        <v>14258100000</v>
      </c>
      <c r="N1139" s="55">
        <v>21866236000</v>
      </c>
      <c r="O1139" s="55">
        <v>1999705000</v>
      </c>
      <c r="P1139" s="55">
        <v>0</v>
      </c>
      <c r="Q1139" s="55">
        <v>1999705000</v>
      </c>
      <c r="R1139" s="55">
        <v>334213000</v>
      </c>
      <c r="S1139" s="55">
        <v>0</v>
      </c>
      <c r="T1139" s="55">
        <v>334213000</v>
      </c>
      <c r="U1139" s="55">
        <v>493357000</v>
      </c>
      <c r="V1139" s="55">
        <v>0</v>
      </c>
      <c r="W1139" s="55">
        <v>493357000</v>
      </c>
      <c r="X1139" s="55">
        <v>85993000</v>
      </c>
      <c r="Y1139" s="55">
        <v>0</v>
      </c>
      <c r="Z1139" s="55">
        <v>85993000</v>
      </c>
      <c r="AA1139" s="55">
        <v>165563000</v>
      </c>
      <c r="AB1139" s="55">
        <v>0</v>
      </c>
      <c r="AC1139" s="55">
        <v>165563000</v>
      </c>
      <c r="AD1139" s="55">
        <v>5938000</v>
      </c>
      <c r="AE1139" s="55">
        <v>0</v>
      </c>
      <c r="AF1139" s="55">
        <v>5938000</v>
      </c>
      <c r="AG1139" s="55">
        <v>0</v>
      </c>
      <c r="AH1139" s="55">
        <v>0</v>
      </c>
      <c r="AI1139" s="55">
        <v>0</v>
      </c>
      <c r="AJ1139" s="55">
        <v>6794568</v>
      </c>
      <c r="AK1139" s="55">
        <v>0</v>
      </c>
      <c r="AL1139" s="55">
        <v>44933</v>
      </c>
      <c r="AM1139" s="55">
        <v>1394</v>
      </c>
      <c r="AN1139" s="55">
        <v>7568400</v>
      </c>
      <c r="AO1139" s="55">
        <v>3763800</v>
      </c>
      <c r="AQ1139" s="55">
        <v>49118536790400</v>
      </c>
      <c r="AR1139" s="55">
        <v>195487106000</v>
      </c>
      <c r="AS1139" s="55">
        <v>72901007000</v>
      </c>
      <c r="AT1139" s="55">
        <v>222121106000</v>
      </c>
      <c r="AU1139" s="55">
        <f t="shared" si="793"/>
        <v>58416195</v>
      </c>
      <c r="AV1139" s="99">
        <f t="shared" si="792"/>
        <v>41179727130.895935</v>
      </c>
    </row>
    <row r="1140" spans="1:48">
      <c r="A1140" s="92">
        <v>45344</v>
      </c>
      <c r="B1140" s="55">
        <v>100821540000</v>
      </c>
      <c r="C1140" s="55">
        <v>11573322200</v>
      </c>
      <c r="D1140" s="55">
        <v>0</v>
      </c>
      <c r="E1140" s="55">
        <v>0</v>
      </c>
      <c r="F1140" s="55">
        <v>112394862200</v>
      </c>
      <c r="G1140" s="55">
        <v>30346613</v>
      </c>
      <c r="H1140" s="55">
        <v>2655310000</v>
      </c>
      <c r="I1140" s="55">
        <v>16028250000</v>
      </c>
      <c r="J1140" s="55">
        <v>18683560000</v>
      </c>
      <c r="L1140" s="55">
        <v>24706523000</v>
      </c>
      <c r="M1140" s="55">
        <v>0</v>
      </c>
      <c r="N1140" s="55">
        <v>24706523000</v>
      </c>
      <c r="O1140" s="55">
        <v>3132024000</v>
      </c>
      <c r="P1140" s="55">
        <v>0</v>
      </c>
      <c r="Q1140" s="55">
        <v>3132024000</v>
      </c>
      <c r="R1140" s="55">
        <v>849262000</v>
      </c>
      <c r="S1140" s="55">
        <v>0</v>
      </c>
      <c r="T1140" s="55">
        <v>849262000</v>
      </c>
      <c r="U1140" s="55">
        <v>53429000</v>
      </c>
      <c r="V1140" s="55">
        <v>0</v>
      </c>
      <c r="W1140" s="55">
        <v>53429000</v>
      </c>
      <c r="X1140" s="55">
        <v>66693000</v>
      </c>
      <c r="Y1140" s="55">
        <v>0</v>
      </c>
      <c r="Z1140" s="55">
        <v>66693000</v>
      </c>
      <c r="AA1140" s="55">
        <v>20193000</v>
      </c>
      <c r="AB1140" s="55">
        <v>0</v>
      </c>
      <c r="AC1140" s="55">
        <v>20193000</v>
      </c>
      <c r="AD1140" s="55">
        <v>7124000</v>
      </c>
      <c r="AE1140" s="55">
        <v>0</v>
      </c>
      <c r="AF1140" s="55">
        <v>7124000</v>
      </c>
      <c r="AG1140" s="55">
        <v>0</v>
      </c>
      <c r="AH1140" s="55">
        <v>0</v>
      </c>
      <c r="AI1140" s="55">
        <v>0</v>
      </c>
      <c r="AJ1140" s="55">
        <v>6286065</v>
      </c>
      <c r="AK1140" s="55">
        <v>0</v>
      </c>
      <c r="AL1140" s="55">
        <v>44933</v>
      </c>
      <c r="AM1140" s="55">
        <v>1104</v>
      </c>
      <c r="AN1140" s="55">
        <v>6803400</v>
      </c>
      <c r="AO1140" s="55">
        <v>2980800</v>
      </c>
      <c r="AQ1140" s="55">
        <v>40499099914400</v>
      </c>
      <c r="AR1140" s="55">
        <v>143515000000</v>
      </c>
      <c r="AS1140" s="55">
        <v>63671156000</v>
      </c>
      <c r="AT1140" s="55">
        <v>176066018200</v>
      </c>
      <c r="AU1140" s="55">
        <f t="shared" si="793"/>
        <v>46416878</v>
      </c>
      <c r="AV1140" s="99">
        <f t="shared" si="792"/>
        <v>41226144008.895935</v>
      </c>
    </row>
    <row r="1141" spans="1:48">
      <c r="A1141" s="92">
        <v>45345</v>
      </c>
      <c r="B1141" s="55">
        <v>272593847000</v>
      </c>
      <c r="C1141" s="55">
        <v>6188493750</v>
      </c>
      <c r="D1141" s="55">
        <v>0</v>
      </c>
      <c r="E1141" s="55">
        <v>0</v>
      </c>
      <c r="F1141" s="55">
        <v>278782340750</v>
      </c>
      <c r="G1141" s="55">
        <v>75271232</v>
      </c>
      <c r="H1141" s="55">
        <v>12406148000</v>
      </c>
      <c r="I1141" s="55">
        <v>57832900000</v>
      </c>
      <c r="J1141" s="55">
        <v>70239048000</v>
      </c>
      <c r="L1141" s="55">
        <v>59855791000</v>
      </c>
      <c r="M1141" s="55">
        <v>8593500000</v>
      </c>
      <c r="N1141" s="55">
        <v>68449291000</v>
      </c>
      <c r="O1141" s="55">
        <v>17833463000</v>
      </c>
      <c r="P1141" s="55">
        <v>0</v>
      </c>
      <c r="Q1141" s="55">
        <v>17833463000</v>
      </c>
      <c r="R1141" s="55">
        <v>1750554000</v>
      </c>
      <c r="S1141" s="55">
        <v>0</v>
      </c>
      <c r="T1141" s="55">
        <v>1750554000</v>
      </c>
      <c r="U1141" s="55">
        <v>604998000</v>
      </c>
      <c r="V1141" s="55">
        <v>0</v>
      </c>
      <c r="W1141" s="55">
        <v>604998000</v>
      </c>
      <c r="X1141" s="55">
        <v>275571000</v>
      </c>
      <c r="Y1141" s="55">
        <v>0</v>
      </c>
      <c r="Z1141" s="55">
        <v>275571000</v>
      </c>
      <c r="AA1141" s="55">
        <v>984328000</v>
      </c>
      <c r="AB1141" s="55">
        <v>0</v>
      </c>
      <c r="AC1141" s="55">
        <v>984328000</v>
      </c>
      <c r="AD1141" s="55">
        <v>59200000</v>
      </c>
      <c r="AE1141" s="55">
        <v>0</v>
      </c>
      <c r="AF1141" s="55">
        <v>59200000</v>
      </c>
      <c r="AG1141" s="55">
        <v>0</v>
      </c>
      <c r="AH1141" s="55">
        <v>0</v>
      </c>
      <c r="AI1141" s="55">
        <v>0</v>
      </c>
      <c r="AJ1141" s="55">
        <v>22083918</v>
      </c>
      <c r="AK1141" s="55">
        <v>0</v>
      </c>
      <c r="AL1141" s="55">
        <v>44933</v>
      </c>
      <c r="AM1141" s="55">
        <v>2981</v>
      </c>
      <c r="AN1141" s="55">
        <v>33139800</v>
      </c>
      <c r="AO1141" s="55">
        <v>8048700</v>
      </c>
      <c r="AQ1141" s="55">
        <v>70208282745600</v>
      </c>
      <c r="AR1141" s="55">
        <v>395437332000</v>
      </c>
      <c r="AS1141" s="55">
        <v>227003450000</v>
      </c>
      <c r="AT1141" s="55">
        <v>505785790750</v>
      </c>
      <c r="AU1141" s="55">
        <f t="shared" si="793"/>
        <v>138543650</v>
      </c>
      <c r="AV1141" s="99">
        <f t="shared" si="792"/>
        <v>41364687658.895935</v>
      </c>
    </row>
    <row r="1142" spans="1:48">
      <c r="A1142" s="92">
        <v>45348</v>
      </c>
      <c r="B1142" s="55">
        <v>103281675000</v>
      </c>
      <c r="C1142" s="55">
        <v>15319218000</v>
      </c>
      <c r="D1142" s="55">
        <v>0</v>
      </c>
      <c r="E1142" s="55">
        <v>0</v>
      </c>
      <c r="F1142" s="55">
        <v>118600893000</v>
      </c>
      <c r="G1142" s="55">
        <v>32022241</v>
      </c>
      <c r="H1142" s="55">
        <v>1850531000</v>
      </c>
      <c r="I1142" s="55">
        <v>0</v>
      </c>
      <c r="J1142" s="55">
        <v>1850531000</v>
      </c>
      <c r="L1142" s="55">
        <v>26861145000</v>
      </c>
      <c r="M1142" s="55">
        <v>0</v>
      </c>
      <c r="N1142" s="55">
        <v>26861145000</v>
      </c>
      <c r="O1142" s="55">
        <v>4061412000</v>
      </c>
      <c r="P1142" s="55">
        <v>0</v>
      </c>
      <c r="Q1142" s="55">
        <v>4061412000</v>
      </c>
      <c r="R1142" s="55">
        <v>3034264000</v>
      </c>
      <c r="S1142" s="55">
        <v>0</v>
      </c>
      <c r="T1142" s="55">
        <v>3034264000</v>
      </c>
      <c r="U1142" s="55">
        <v>221840000</v>
      </c>
      <c r="V1142" s="55">
        <v>0</v>
      </c>
      <c r="W1142" s="55">
        <v>221840000</v>
      </c>
      <c r="X1142" s="55">
        <v>261597000</v>
      </c>
      <c r="Y1142" s="55">
        <v>0</v>
      </c>
      <c r="Z1142" s="55">
        <v>261597000</v>
      </c>
      <c r="AA1142" s="55">
        <v>259864000</v>
      </c>
      <c r="AB1142" s="55">
        <v>0</v>
      </c>
      <c r="AC1142" s="55">
        <v>259864000</v>
      </c>
      <c r="AD1142" s="55">
        <v>9393000</v>
      </c>
      <c r="AE1142" s="55">
        <v>0</v>
      </c>
      <c r="AF1142" s="55">
        <v>9393000</v>
      </c>
      <c r="AG1142" s="55">
        <v>0</v>
      </c>
      <c r="AH1142" s="55">
        <v>0</v>
      </c>
      <c r="AI1142" s="55">
        <v>0</v>
      </c>
      <c r="AJ1142" s="55">
        <v>3948485</v>
      </c>
      <c r="AK1142" s="55">
        <v>0</v>
      </c>
      <c r="AL1142" s="55">
        <v>44933</v>
      </c>
      <c r="AM1142" s="55">
        <v>1300</v>
      </c>
      <c r="AN1142" s="55">
        <v>10587600</v>
      </c>
      <c r="AO1142" s="55">
        <v>3510000</v>
      </c>
      <c r="AQ1142" s="55">
        <v>46721162232000</v>
      </c>
      <c r="AR1142" s="55">
        <v>167595294000</v>
      </c>
      <c r="AS1142" s="55">
        <v>36701869000</v>
      </c>
      <c r="AT1142" s="55">
        <v>155302762000</v>
      </c>
      <c r="AU1142" s="55">
        <f t="shared" si="793"/>
        <v>50068326</v>
      </c>
      <c r="AV1142" s="99">
        <f t="shared" si="792"/>
        <v>41414755984.895935</v>
      </c>
    </row>
    <row r="1143" spans="1:48">
      <c r="A1143" s="92">
        <v>45349</v>
      </c>
      <c r="B1143" s="55">
        <v>246215894000</v>
      </c>
      <c r="C1143" s="55">
        <v>44951205550</v>
      </c>
      <c r="D1143" s="55">
        <v>0</v>
      </c>
      <c r="E1143" s="55">
        <v>0</v>
      </c>
      <c r="F1143" s="55">
        <v>291167099550</v>
      </c>
      <c r="G1143" s="55">
        <v>78615117</v>
      </c>
      <c r="H1143" s="55">
        <v>13169802000</v>
      </c>
      <c r="I1143" s="55">
        <v>79383800000</v>
      </c>
      <c r="J1143" s="55">
        <v>92553602000</v>
      </c>
      <c r="L1143" s="55">
        <v>43712648000</v>
      </c>
      <c r="M1143" s="55">
        <v>0</v>
      </c>
      <c r="N1143" s="55">
        <v>43712648000</v>
      </c>
      <c r="O1143" s="55">
        <v>19784213000</v>
      </c>
      <c r="P1143" s="55">
        <v>0</v>
      </c>
      <c r="Q1143" s="55">
        <v>19784213000</v>
      </c>
      <c r="R1143" s="55">
        <v>2471397000</v>
      </c>
      <c r="S1143" s="55">
        <v>0</v>
      </c>
      <c r="T1143" s="55">
        <v>2471397000</v>
      </c>
      <c r="U1143" s="55">
        <v>568868000</v>
      </c>
      <c r="V1143" s="55">
        <v>0</v>
      </c>
      <c r="W1143" s="55">
        <v>568868000</v>
      </c>
      <c r="X1143" s="55">
        <v>20489000</v>
      </c>
      <c r="Y1143" s="55">
        <v>0</v>
      </c>
      <c r="Z1143" s="55">
        <v>20489000</v>
      </c>
      <c r="AA1143" s="55">
        <v>326724000</v>
      </c>
      <c r="AB1143" s="55">
        <v>0</v>
      </c>
      <c r="AC1143" s="55">
        <v>326724000</v>
      </c>
      <c r="AD1143" s="55">
        <v>0</v>
      </c>
      <c r="AE1143" s="55">
        <v>0</v>
      </c>
      <c r="AF1143" s="55">
        <v>0</v>
      </c>
      <c r="AG1143" s="55">
        <v>0</v>
      </c>
      <c r="AH1143" s="55">
        <v>0</v>
      </c>
      <c r="AI1143" s="55">
        <v>0</v>
      </c>
      <c r="AJ1143" s="55">
        <v>22934931</v>
      </c>
      <c r="AK1143" s="55">
        <v>0</v>
      </c>
      <c r="AL1143" s="55">
        <v>44933</v>
      </c>
      <c r="AM1143" s="55">
        <v>2410</v>
      </c>
      <c r="AN1143" s="55">
        <v>6936000</v>
      </c>
      <c r="AO1143" s="55">
        <v>6507000</v>
      </c>
      <c r="AQ1143" s="55">
        <v>51391008025000</v>
      </c>
      <c r="AR1143" s="55">
        <v>411189776000</v>
      </c>
      <c r="AS1143" s="55">
        <v>239026124000</v>
      </c>
      <c r="AT1143" s="55">
        <v>530193223550</v>
      </c>
      <c r="AU1143" s="55">
        <f t="shared" si="793"/>
        <v>114993048</v>
      </c>
      <c r="AV1143" s="99">
        <f t="shared" si="792"/>
        <v>41529749032.895935</v>
      </c>
    </row>
    <row r="1144" spans="1:48">
      <c r="A1144" s="92">
        <v>45350</v>
      </c>
      <c r="B1144" s="55">
        <v>152137879000</v>
      </c>
      <c r="C1144" s="55">
        <v>13489845000</v>
      </c>
      <c r="D1144" s="55">
        <v>0</v>
      </c>
      <c r="E1144" s="55">
        <v>0</v>
      </c>
      <c r="F1144" s="55">
        <v>165627724000</v>
      </c>
      <c r="G1144" s="55">
        <v>44719485</v>
      </c>
      <c r="H1144" s="55">
        <v>17833680000</v>
      </c>
      <c r="I1144" s="55">
        <v>39060000000</v>
      </c>
      <c r="J1144" s="55">
        <v>56893680000</v>
      </c>
      <c r="L1144" s="55">
        <v>25955225000</v>
      </c>
      <c r="M1144" s="55">
        <v>0</v>
      </c>
      <c r="N1144" s="55">
        <v>25955225000</v>
      </c>
      <c r="O1144" s="55">
        <v>11149584000</v>
      </c>
      <c r="P1144" s="55">
        <v>0</v>
      </c>
      <c r="Q1144" s="55">
        <v>11149584000</v>
      </c>
      <c r="R1144" s="55">
        <v>3164688000</v>
      </c>
      <c r="S1144" s="55">
        <v>0</v>
      </c>
      <c r="T1144" s="55">
        <v>3164688000</v>
      </c>
      <c r="U1144" s="55">
        <v>223346000</v>
      </c>
      <c r="V1144" s="55">
        <v>0</v>
      </c>
      <c r="W1144" s="55">
        <v>223346000</v>
      </c>
      <c r="X1144" s="55">
        <v>331939000</v>
      </c>
      <c r="Y1144" s="55">
        <v>0</v>
      </c>
      <c r="Z1144" s="55">
        <v>331939000</v>
      </c>
      <c r="AA1144" s="55">
        <v>241860000</v>
      </c>
      <c r="AB1144" s="55">
        <v>0</v>
      </c>
      <c r="AC1144" s="55">
        <v>241860000</v>
      </c>
      <c r="AD1144" s="55">
        <v>1190000</v>
      </c>
      <c r="AE1144" s="55">
        <v>0</v>
      </c>
      <c r="AF1144" s="55">
        <v>1190000</v>
      </c>
      <c r="AG1144" s="55">
        <v>0</v>
      </c>
      <c r="AH1144" s="55">
        <v>0</v>
      </c>
      <c r="AI1144" s="55">
        <v>0</v>
      </c>
      <c r="AJ1144" s="55">
        <v>13392163</v>
      </c>
      <c r="AK1144" s="55">
        <v>0</v>
      </c>
      <c r="AL1144" s="55">
        <v>44933</v>
      </c>
      <c r="AM1144" s="55">
        <v>1434</v>
      </c>
      <c r="AN1144" s="55">
        <v>7614300</v>
      </c>
      <c r="AO1144" s="55">
        <v>3871800</v>
      </c>
      <c r="AQ1144" s="55">
        <v>50704810972000</v>
      </c>
      <c r="AR1144" s="55">
        <v>246858818000</v>
      </c>
      <c r="AS1144" s="55">
        <v>137035962000</v>
      </c>
      <c r="AT1144" s="55">
        <v>302663686000</v>
      </c>
      <c r="AU1144" s="55">
        <f t="shared" si="793"/>
        <v>69597748</v>
      </c>
      <c r="AV1144" s="99">
        <f t="shared" si="792"/>
        <v>41599346780.895935</v>
      </c>
    </row>
    <row r="1145" spans="1:48">
      <c r="A1145" s="92">
        <v>45351</v>
      </c>
      <c r="B1145" s="55">
        <v>68929630000</v>
      </c>
      <c r="C1145" s="55">
        <v>0</v>
      </c>
      <c r="D1145" s="55">
        <v>0</v>
      </c>
      <c r="E1145" s="55">
        <v>0</v>
      </c>
      <c r="F1145" s="55">
        <v>68929630000</v>
      </c>
      <c r="G1145" s="55">
        <v>18611000</v>
      </c>
      <c r="H1145" s="55">
        <v>12713560000</v>
      </c>
      <c r="I1145" s="55">
        <v>69825400000</v>
      </c>
      <c r="J1145" s="55">
        <v>82538960000</v>
      </c>
      <c r="L1145" s="55">
        <v>50515650000</v>
      </c>
      <c r="M1145" s="55">
        <v>8757900000</v>
      </c>
      <c r="N1145" s="55">
        <v>59273550000</v>
      </c>
      <c r="O1145" s="55">
        <v>5477945000</v>
      </c>
      <c r="P1145" s="55">
        <v>0</v>
      </c>
      <c r="Q1145" s="55">
        <v>5477945000</v>
      </c>
      <c r="R1145" s="55">
        <v>1631463000</v>
      </c>
      <c r="S1145" s="55">
        <v>0</v>
      </c>
      <c r="T1145" s="55">
        <v>1631463000</v>
      </c>
      <c r="U1145" s="55">
        <v>455487000</v>
      </c>
      <c r="V1145" s="55">
        <v>0</v>
      </c>
      <c r="W1145" s="55">
        <v>455487000</v>
      </c>
      <c r="X1145" s="55">
        <v>10001000</v>
      </c>
      <c r="Y1145" s="55">
        <v>0</v>
      </c>
      <c r="Z1145" s="55">
        <v>10001000</v>
      </c>
      <c r="AA1145" s="55">
        <v>429200000</v>
      </c>
      <c r="AB1145" s="55">
        <v>0</v>
      </c>
      <c r="AC1145" s="55">
        <v>429200000</v>
      </c>
      <c r="AD1145" s="55">
        <v>51704000</v>
      </c>
      <c r="AE1145" s="55">
        <v>0</v>
      </c>
      <c r="AF1145" s="55">
        <v>51704000</v>
      </c>
      <c r="AG1145" s="55">
        <v>0</v>
      </c>
      <c r="AH1145" s="55">
        <v>0</v>
      </c>
      <c r="AI1145" s="55">
        <v>0</v>
      </c>
      <c r="AJ1145" s="55">
        <v>21843775</v>
      </c>
      <c r="AK1145" s="55">
        <v>0</v>
      </c>
      <c r="AL1145" s="55">
        <v>44933</v>
      </c>
      <c r="AM1145" s="55">
        <v>1501</v>
      </c>
      <c r="AN1145" s="55">
        <v>9845550</v>
      </c>
      <c r="AO1145" s="55">
        <v>4052700</v>
      </c>
      <c r="AP1145" s="55">
        <f>207361063+(-34946402.5862122)</f>
        <v>172414660.41378778</v>
      </c>
      <c r="AQ1145" s="55">
        <v>57685341464800</v>
      </c>
      <c r="AR1145" s="55">
        <v>626248626000</v>
      </c>
      <c r="AS1145" s="55">
        <v>228881653000</v>
      </c>
      <c r="AT1145" s="55">
        <v>297811283000</v>
      </c>
      <c r="AU1145" s="55">
        <f t="shared" si="793"/>
        <v>226767685.41378778</v>
      </c>
      <c r="AV1145" s="99">
        <f t="shared" si="792"/>
        <v>41826114466.309723</v>
      </c>
    </row>
    <row r="1146" spans="1:48">
      <c r="A1146" s="92">
        <v>45352</v>
      </c>
      <c r="B1146" s="55">
        <v>196650538000</v>
      </c>
      <c r="C1146" s="55">
        <v>13113443800</v>
      </c>
      <c r="D1146" s="55">
        <v>0</v>
      </c>
      <c r="E1146" s="55">
        <v>0</v>
      </c>
      <c r="F1146" s="55">
        <v>209763981800</v>
      </c>
      <c r="G1146" s="55">
        <v>56636275</v>
      </c>
      <c r="H1146" s="55">
        <v>1259689000</v>
      </c>
      <c r="I1146" s="55">
        <v>9445845000</v>
      </c>
      <c r="J1146" s="55">
        <v>10705534000</v>
      </c>
      <c r="L1146" s="55">
        <v>50330171000</v>
      </c>
      <c r="M1146" s="55">
        <v>5932200000</v>
      </c>
      <c r="N1146" s="55">
        <v>56262371000</v>
      </c>
      <c r="O1146" s="55">
        <v>4237421000</v>
      </c>
      <c r="P1146" s="55">
        <v>0</v>
      </c>
      <c r="Q1146" s="55">
        <v>4237421000</v>
      </c>
      <c r="R1146" s="55">
        <v>1743572000</v>
      </c>
      <c r="S1146" s="55">
        <v>0</v>
      </c>
      <c r="T1146" s="55">
        <v>1743572000</v>
      </c>
      <c r="U1146" s="55">
        <v>342776000</v>
      </c>
      <c r="V1146" s="55">
        <v>0</v>
      </c>
      <c r="W1146" s="55">
        <v>342776000</v>
      </c>
      <c r="X1146" s="55">
        <v>176094000</v>
      </c>
      <c r="Y1146" s="55">
        <v>0</v>
      </c>
      <c r="Z1146" s="55">
        <v>176094000</v>
      </c>
      <c r="AA1146" s="55">
        <v>619648000</v>
      </c>
      <c r="AB1146" s="55">
        <v>0</v>
      </c>
      <c r="AC1146" s="55">
        <v>619648000</v>
      </c>
      <c r="AD1146" s="55">
        <v>47760000</v>
      </c>
      <c r="AE1146" s="55">
        <v>0</v>
      </c>
      <c r="AF1146" s="55">
        <v>47760000</v>
      </c>
      <c r="AG1146" s="55">
        <v>0</v>
      </c>
      <c r="AH1146" s="55">
        <v>0</v>
      </c>
      <c r="AI1146" s="55">
        <v>0</v>
      </c>
      <c r="AJ1146" s="55">
        <v>9113818</v>
      </c>
      <c r="AK1146" s="55">
        <v>0</v>
      </c>
      <c r="AL1146" s="55">
        <v>44933</v>
      </c>
      <c r="AM1146" s="55">
        <v>1779</v>
      </c>
      <c r="AN1146" s="55">
        <v>32420700</v>
      </c>
      <c r="AO1146" s="55">
        <v>4803300</v>
      </c>
      <c r="AQ1146" s="55">
        <v>52872986147200</v>
      </c>
      <c r="AR1146" s="55">
        <v>475075330000</v>
      </c>
      <c r="AS1146" s="55">
        <v>93767748000</v>
      </c>
      <c r="AT1146" s="55">
        <v>303579489800</v>
      </c>
      <c r="AU1146" s="55">
        <f t="shared" ref="AU1146:AU1150" si="794">G1146+AJ1146+AK1146+AN1146+AO1146+AP1146</f>
        <v>102974093</v>
      </c>
      <c r="AV1146" s="99">
        <f t="shared" ref="AV1146:AV1150" si="795">AV1145+AU1146</f>
        <v>41929088559.309723</v>
      </c>
    </row>
    <row r="1147" spans="1:48">
      <c r="A1147" s="92">
        <v>45355</v>
      </c>
      <c r="B1147" s="55">
        <v>180157076000</v>
      </c>
      <c r="C1147" s="55">
        <v>13348041000</v>
      </c>
      <c r="D1147" s="55">
        <v>0</v>
      </c>
      <c r="E1147" s="55">
        <v>0</v>
      </c>
      <c r="F1147" s="55">
        <v>193505117000</v>
      </c>
      <c r="G1147" s="55">
        <v>52246382</v>
      </c>
      <c r="H1147" s="55">
        <v>1468173000</v>
      </c>
      <c r="I1147" s="55">
        <v>39362300000</v>
      </c>
      <c r="J1147" s="55">
        <v>40830473000</v>
      </c>
      <c r="L1147" s="55">
        <v>3447672000</v>
      </c>
      <c r="M1147" s="55">
        <v>0</v>
      </c>
      <c r="N1147" s="55">
        <v>3447672000</v>
      </c>
      <c r="O1147" s="55">
        <v>1198023000</v>
      </c>
      <c r="P1147" s="55">
        <v>0</v>
      </c>
      <c r="Q1147" s="55">
        <v>1198023000</v>
      </c>
      <c r="R1147" s="55">
        <v>1687487000</v>
      </c>
      <c r="S1147" s="55">
        <v>0</v>
      </c>
      <c r="T1147" s="55">
        <v>1687487000</v>
      </c>
      <c r="U1147" s="55">
        <v>190455000</v>
      </c>
      <c r="V1147" s="55">
        <v>0</v>
      </c>
      <c r="W1147" s="55">
        <v>190455000</v>
      </c>
      <c r="X1147" s="55">
        <v>147437000</v>
      </c>
      <c r="Y1147" s="55">
        <v>0</v>
      </c>
      <c r="Z1147" s="55">
        <v>147437000</v>
      </c>
      <c r="AA1147" s="55">
        <v>759339000</v>
      </c>
      <c r="AB1147" s="55">
        <v>0</v>
      </c>
      <c r="AC1147" s="55">
        <v>759339000</v>
      </c>
      <c r="AD1147" s="55">
        <v>1203000</v>
      </c>
      <c r="AE1147" s="55">
        <v>0</v>
      </c>
      <c r="AF1147" s="55">
        <v>1203000</v>
      </c>
      <c r="AG1147" s="55">
        <v>0</v>
      </c>
      <c r="AH1147" s="55">
        <v>0</v>
      </c>
      <c r="AI1147" s="55">
        <v>0</v>
      </c>
      <c r="AJ1147" s="55">
        <v>8046391</v>
      </c>
      <c r="AK1147" s="55">
        <v>0</v>
      </c>
      <c r="AL1147" s="55">
        <v>44933</v>
      </c>
      <c r="AM1147" s="55">
        <v>1714</v>
      </c>
      <c r="AN1147" s="55">
        <v>8843400</v>
      </c>
      <c r="AO1147" s="55">
        <v>4627800</v>
      </c>
      <c r="AQ1147" s="55">
        <v>62749888087600</v>
      </c>
      <c r="AR1147" s="55">
        <v>384301074000</v>
      </c>
      <c r="AS1147" s="55">
        <v>87707291000</v>
      </c>
      <c r="AT1147" s="55">
        <v>281212408000</v>
      </c>
      <c r="AU1147" s="55">
        <f t="shared" si="794"/>
        <v>73763973</v>
      </c>
      <c r="AV1147" s="99">
        <f t="shared" si="795"/>
        <v>42002852532.309723</v>
      </c>
    </row>
    <row r="1148" spans="1:48">
      <c r="A1148" s="92">
        <v>45356</v>
      </c>
      <c r="B1148" s="55">
        <v>147386849000</v>
      </c>
      <c r="C1148" s="55">
        <v>13475185000</v>
      </c>
      <c r="D1148" s="55">
        <v>0</v>
      </c>
      <c r="E1148" s="55">
        <v>0</v>
      </c>
      <c r="F1148" s="55">
        <v>160862034000</v>
      </c>
      <c r="G1148" s="55">
        <v>43432749</v>
      </c>
      <c r="H1148" s="55">
        <v>3465822000</v>
      </c>
      <c r="I1148" s="55">
        <v>433740000</v>
      </c>
      <c r="J1148" s="55">
        <v>3899562000</v>
      </c>
      <c r="L1148" s="55">
        <v>48130928000</v>
      </c>
      <c r="M1148" s="55">
        <v>8964600000</v>
      </c>
      <c r="N1148" s="55">
        <v>57095528000</v>
      </c>
      <c r="O1148" s="55">
        <v>6314111000</v>
      </c>
      <c r="P1148" s="55">
        <v>0</v>
      </c>
      <c r="Q1148" s="55">
        <v>6314111000</v>
      </c>
      <c r="R1148" s="55">
        <v>1114206000</v>
      </c>
      <c r="S1148" s="55">
        <v>0</v>
      </c>
      <c r="T1148" s="55">
        <v>1114206000</v>
      </c>
      <c r="U1148" s="55">
        <v>68711000</v>
      </c>
      <c r="V1148" s="55">
        <v>0</v>
      </c>
      <c r="W1148" s="55">
        <v>68711000</v>
      </c>
      <c r="X1148" s="55">
        <v>265801000</v>
      </c>
      <c r="Y1148" s="55">
        <v>0</v>
      </c>
      <c r="Z1148" s="55">
        <v>265801000</v>
      </c>
      <c r="AA1148" s="55">
        <v>627630000</v>
      </c>
      <c r="AB1148" s="55">
        <v>0</v>
      </c>
      <c r="AC1148" s="55">
        <v>627630000</v>
      </c>
      <c r="AD1148" s="55">
        <v>53943000</v>
      </c>
      <c r="AE1148" s="55">
        <v>0</v>
      </c>
      <c r="AF1148" s="55">
        <v>53943000</v>
      </c>
      <c r="AG1148" s="55">
        <v>0</v>
      </c>
      <c r="AH1148" s="55">
        <v>0</v>
      </c>
      <c r="AI1148" s="55">
        <v>0</v>
      </c>
      <c r="AJ1148" s="55">
        <v>8176146</v>
      </c>
      <c r="AK1148" s="55">
        <v>0</v>
      </c>
      <c r="AL1148" s="55">
        <v>44933</v>
      </c>
      <c r="AM1148" s="55">
        <v>1849</v>
      </c>
      <c r="AN1148" s="55">
        <v>9743550</v>
      </c>
      <c r="AO1148" s="55">
        <v>4992300</v>
      </c>
      <c r="AQ1148" s="55">
        <v>52973383994000</v>
      </c>
      <c r="AR1148" s="55">
        <v>702965520000</v>
      </c>
      <c r="AS1148" s="55">
        <v>79334543000</v>
      </c>
      <c r="AT1148" s="55">
        <v>240196577000</v>
      </c>
      <c r="AU1148" s="55">
        <f t="shared" si="794"/>
        <v>66344745</v>
      </c>
      <c r="AV1148" s="99">
        <f t="shared" si="795"/>
        <v>42069197277.309723</v>
      </c>
    </row>
    <row r="1149" spans="1:48">
      <c r="A1149" s="92">
        <v>45357</v>
      </c>
      <c r="B1149" s="55">
        <v>225894696000</v>
      </c>
      <c r="C1149" s="55">
        <v>12606951600</v>
      </c>
      <c r="D1149" s="55">
        <v>0</v>
      </c>
      <c r="E1149" s="55">
        <v>0</v>
      </c>
      <c r="F1149" s="55">
        <v>238501647600</v>
      </c>
      <c r="G1149" s="55">
        <v>64395445</v>
      </c>
      <c r="H1149" s="55">
        <v>260579000</v>
      </c>
      <c r="I1149" s="55">
        <v>13165700000</v>
      </c>
      <c r="J1149" s="55">
        <v>13426279000</v>
      </c>
      <c r="L1149" s="55">
        <v>9340295000</v>
      </c>
      <c r="M1149" s="55">
        <v>17902000000</v>
      </c>
      <c r="N1149" s="55">
        <v>27242295000</v>
      </c>
      <c r="O1149" s="55">
        <v>4322470000</v>
      </c>
      <c r="P1149" s="55">
        <v>0</v>
      </c>
      <c r="Q1149" s="55">
        <v>4322470000</v>
      </c>
      <c r="R1149" s="55">
        <v>741638000</v>
      </c>
      <c r="S1149" s="55">
        <v>0</v>
      </c>
      <c r="T1149" s="55">
        <v>741638000</v>
      </c>
      <c r="U1149" s="55">
        <v>70609000</v>
      </c>
      <c r="V1149" s="55">
        <v>0</v>
      </c>
      <c r="W1149" s="55">
        <v>70609000</v>
      </c>
      <c r="X1149" s="55">
        <v>100054000</v>
      </c>
      <c r="Y1149" s="55">
        <v>10985000000</v>
      </c>
      <c r="Z1149" s="55">
        <v>11085054000</v>
      </c>
      <c r="AA1149" s="55">
        <v>463857000</v>
      </c>
      <c r="AB1149" s="55">
        <v>0</v>
      </c>
      <c r="AC1149" s="55">
        <v>463857000</v>
      </c>
      <c r="AD1149" s="55">
        <v>1210000</v>
      </c>
      <c r="AE1149" s="55">
        <v>0</v>
      </c>
      <c r="AF1149" s="55">
        <v>1210000</v>
      </c>
      <c r="AG1149" s="55">
        <v>0</v>
      </c>
      <c r="AH1149" s="55">
        <v>0</v>
      </c>
      <c r="AI1149" s="55">
        <v>0</v>
      </c>
      <c r="AJ1149" s="55">
        <v>9221963</v>
      </c>
      <c r="AK1149" s="55">
        <v>0</v>
      </c>
      <c r="AL1149" s="55">
        <v>44933</v>
      </c>
      <c r="AM1149" s="55">
        <v>2218</v>
      </c>
      <c r="AN1149" s="55">
        <v>8937750</v>
      </c>
      <c r="AO1149" s="55">
        <v>5988600</v>
      </c>
      <c r="AQ1149" s="55">
        <v>55395530491400</v>
      </c>
      <c r="AR1149" s="55">
        <v>252380416000</v>
      </c>
      <c r="AS1149" s="55">
        <v>99510437000</v>
      </c>
      <c r="AT1149" s="55">
        <v>338012084600</v>
      </c>
      <c r="AU1149" s="55">
        <f t="shared" si="794"/>
        <v>88543758</v>
      </c>
      <c r="AV1149" s="99">
        <f t="shared" si="795"/>
        <v>42157741035.309723</v>
      </c>
    </row>
    <row r="1150" spans="1:48">
      <c r="A1150" s="92">
        <v>45358</v>
      </c>
      <c r="B1150" s="55">
        <v>166536736999.96002</v>
      </c>
      <c r="C1150" s="55">
        <v>31758635000</v>
      </c>
      <c r="D1150" s="55">
        <v>0</v>
      </c>
      <c r="E1150" s="55">
        <v>0</v>
      </c>
      <c r="F1150" s="55">
        <v>198295371999.96002</v>
      </c>
      <c r="G1150" s="55">
        <v>53539750</v>
      </c>
      <c r="H1150" s="55">
        <v>1794231000</v>
      </c>
      <c r="I1150" s="55">
        <v>37316500000</v>
      </c>
      <c r="J1150" s="55">
        <v>39110731000</v>
      </c>
      <c r="L1150" s="55">
        <v>24255358000</v>
      </c>
      <c r="M1150" s="55">
        <v>0</v>
      </c>
      <c r="N1150" s="55">
        <v>24255358000</v>
      </c>
      <c r="O1150" s="55">
        <v>5626854000</v>
      </c>
      <c r="P1150" s="55">
        <v>0</v>
      </c>
      <c r="Q1150" s="55">
        <v>5626854000</v>
      </c>
      <c r="R1150" s="55">
        <v>3188496000</v>
      </c>
      <c r="S1150" s="55">
        <v>0</v>
      </c>
      <c r="T1150" s="55">
        <v>3188496000</v>
      </c>
      <c r="U1150" s="55">
        <v>289504000</v>
      </c>
      <c r="V1150" s="55">
        <v>0</v>
      </c>
      <c r="W1150" s="55">
        <v>289504000</v>
      </c>
      <c r="X1150" s="55">
        <v>143104000</v>
      </c>
      <c r="Y1150" s="55">
        <v>0</v>
      </c>
      <c r="Z1150" s="55">
        <v>143104000</v>
      </c>
      <c r="AA1150" s="55">
        <v>764023000</v>
      </c>
      <c r="AB1150" s="55">
        <v>0</v>
      </c>
      <c r="AC1150" s="55">
        <v>764023000</v>
      </c>
      <c r="AD1150" s="55">
        <v>1210000</v>
      </c>
      <c r="AE1150" s="55">
        <v>0</v>
      </c>
      <c r="AF1150" s="55">
        <v>1210000</v>
      </c>
      <c r="AG1150" s="55">
        <v>0</v>
      </c>
      <c r="AH1150" s="55">
        <v>0</v>
      </c>
      <c r="AI1150" s="55">
        <v>0</v>
      </c>
      <c r="AJ1150" s="55">
        <v>10611750</v>
      </c>
      <c r="AK1150" s="55">
        <v>0</v>
      </c>
      <c r="AL1150" s="55">
        <v>44933</v>
      </c>
      <c r="AM1150" s="55">
        <v>1811</v>
      </c>
      <c r="AN1150" s="55">
        <v>9934800</v>
      </c>
      <c r="AO1150" s="55">
        <v>4889700</v>
      </c>
      <c r="AQ1150" s="55">
        <v>57690881884000</v>
      </c>
      <c r="AR1150" s="55">
        <v>572863050000</v>
      </c>
      <c r="AS1150" s="55">
        <v>111332036000</v>
      </c>
      <c r="AT1150" s="55">
        <v>309627407999.96002</v>
      </c>
      <c r="AU1150" s="55">
        <f t="shared" si="794"/>
        <v>78976000</v>
      </c>
      <c r="AV1150" s="99">
        <f t="shared" si="795"/>
        <v>42236717035.309723</v>
      </c>
    </row>
    <row r="1151" spans="1:48">
      <c r="A1151" s="92">
        <v>45359</v>
      </c>
      <c r="B1151" s="55">
        <v>245342621000</v>
      </c>
      <c r="C1151" s="55">
        <v>0</v>
      </c>
      <c r="D1151" s="55">
        <v>0</v>
      </c>
      <c r="E1151" s="55">
        <v>0</v>
      </c>
      <c r="F1151" s="55">
        <v>245342621000</v>
      </c>
      <c r="G1151" s="55">
        <v>66242508</v>
      </c>
      <c r="H1151" s="55">
        <v>10505477000</v>
      </c>
      <c r="I1151" s="55">
        <v>74019600000</v>
      </c>
      <c r="J1151" s="55">
        <v>84525077000</v>
      </c>
      <c r="L1151" s="55">
        <v>21783025000</v>
      </c>
      <c r="M1151" s="55">
        <v>2942700000</v>
      </c>
      <c r="N1151" s="55">
        <v>24725725000</v>
      </c>
      <c r="O1151" s="55">
        <v>4450614000</v>
      </c>
      <c r="P1151" s="55">
        <v>2769525000</v>
      </c>
      <c r="Q1151" s="55">
        <v>7220139000</v>
      </c>
      <c r="R1151" s="55">
        <v>3105137000</v>
      </c>
      <c r="S1151" s="55">
        <v>0</v>
      </c>
      <c r="T1151" s="55">
        <v>3105137000</v>
      </c>
      <c r="U1151" s="55">
        <v>396616000</v>
      </c>
      <c r="V1151" s="55">
        <v>0</v>
      </c>
      <c r="W1151" s="55">
        <v>396616000</v>
      </c>
      <c r="X1151" s="55">
        <v>346550000</v>
      </c>
      <c r="Y1151" s="55">
        <v>0</v>
      </c>
      <c r="Z1151" s="55">
        <v>346550000</v>
      </c>
      <c r="AA1151" s="55">
        <v>450547000</v>
      </c>
      <c r="AB1151" s="55">
        <v>3933800000</v>
      </c>
      <c r="AC1151" s="55">
        <v>4384347000</v>
      </c>
      <c r="AD1151" s="55">
        <v>0</v>
      </c>
      <c r="AE1151" s="55">
        <v>0</v>
      </c>
      <c r="AF1151" s="55">
        <v>0</v>
      </c>
      <c r="AG1151" s="55">
        <v>0</v>
      </c>
      <c r="AH1151" s="55">
        <v>2093550000</v>
      </c>
      <c r="AI1151" s="55">
        <v>2093550000</v>
      </c>
      <c r="AJ1151" s="55">
        <v>19868752</v>
      </c>
      <c r="AK1151" s="55">
        <v>0</v>
      </c>
      <c r="AL1151" s="55">
        <v>44933</v>
      </c>
      <c r="AM1151" s="55">
        <v>2712</v>
      </c>
      <c r="AN1151" s="55">
        <v>28427400</v>
      </c>
      <c r="AO1151" s="55">
        <v>7322400</v>
      </c>
      <c r="AQ1151" s="55">
        <v>71467412630800</v>
      </c>
      <c r="AR1151" s="55">
        <v>312582642000</v>
      </c>
      <c r="AS1151" s="55">
        <v>214229094000</v>
      </c>
      <c r="AT1151" s="55">
        <v>459571715000</v>
      </c>
      <c r="AU1151" s="55">
        <f>G1151+AJ1151+AK1151+AN1151+AO1151+AP1151</f>
        <v>121861060</v>
      </c>
      <c r="AV1151" s="99">
        <f t="shared" ref="AV1151:AV1155" si="796">AV1150+AU1151</f>
        <v>42358578095.309723</v>
      </c>
    </row>
    <row r="1152" spans="1:48">
      <c r="A1152" s="92">
        <v>45362</v>
      </c>
      <c r="B1152" s="55">
        <v>193240541000</v>
      </c>
      <c r="C1152" s="55">
        <v>21605425850</v>
      </c>
      <c r="D1152" s="55">
        <v>0</v>
      </c>
      <c r="E1152" s="55">
        <v>0</v>
      </c>
      <c r="F1152" s="55">
        <v>214845966850</v>
      </c>
      <c r="G1152" s="55">
        <v>58008411</v>
      </c>
      <c r="H1152" s="55">
        <v>17170254000</v>
      </c>
      <c r="I1152" s="55">
        <v>23671900000</v>
      </c>
      <c r="J1152" s="55">
        <v>40842154000</v>
      </c>
      <c r="L1152" s="55">
        <v>26664672000</v>
      </c>
      <c r="M1152" s="55">
        <v>0</v>
      </c>
      <c r="N1152" s="55">
        <v>26664672000</v>
      </c>
      <c r="O1152" s="55">
        <v>14499058000</v>
      </c>
      <c r="P1152" s="55">
        <v>2733075000</v>
      </c>
      <c r="Q1152" s="55">
        <v>17232133000</v>
      </c>
      <c r="R1152" s="55">
        <v>2466193000</v>
      </c>
      <c r="S1152" s="55">
        <v>0</v>
      </c>
      <c r="T1152" s="55">
        <v>2466193000</v>
      </c>
      <c r="U1152" s="55">
        <v>677431000</v>
      </c>
      <c r="V1152" s="55">
        <v>0</v>
      </c>
      <c r="W1152" s="55">
        <v>677431000</v>
      </c>
      <c r="X1152" s="55">
        <v>176400000</v>
      </c>
      <c r="Y1152" s="55">
        <v>0</v>
      </c>
      <c r="Z1152" s="55">
        <v>176400000</v>
      </c>
      <c r="AA1152" s="55">
        <v>207510000</v>
      </c>
      <c r="AB1152" s="55">
        <v>0</v>
      </c>
      <c r="AC1152" s="55">
        <v>207510000</v>
      </c>
      <c r="AD1152" s="55">
        <v>0</v>
      </c>
      <c r="AE1152" s="55">
        <v>0</v>
      </c>
      <c r="AF1152" s="55">
        <v>0</v>
      </c>
      <c r="AG1152" s="55">
        <v>0</v>
      </c>
      <c r="AH1152" s="55">
        <v>0</v>
      </c>
      <c r="AI1152" s="55">
        <v>0</v>
      </c>
      <c r="AJ1152" s="55">
        <v>11433939</v>
      </c>
      <c r="AK1152" s="55">
        <v>0</v>
      </c>
      <c r="AL1152" s="55">
        <v>44933</v>
      </c>
      <c r="AM1152" s="55">
        <v>2656</v>
      </c>
      <c r="AN1152" s="55">
        <v>10312200</v>
      </c>
      <c r="AO1152" s="55">
        <v>7171200</v>
      </c>
      <c r="AQ1152" s="55">
        <v>52954164554400</v>
      </c>
      <c r="AR1152" s="55">
        <v>280753786000</v>
      </c>
      <c r="AS1152" s="55">
        <v>114744993000</v>
      </c>
      <c r="AT1152" s="55">
        <v>329590959850</v>
      </c>
      <c r="AU1152" s="55">
        <f t="shared" ref="AU1152:AU1155" si="797">G1152+AJ1152+AK1152+AN1152+AO1152+AP1152</f>
        <v>86925750</v>
      </c>
      <c r="AV1152" s="99">
        <f t="shared" si="796"/>
        <v>42445503845.309723</v>
      </c>
    </row>
    <row r="1153" spans="1:48">
      <c r="A1153" s="92">
        <v>45363</v>
      </c>
      <c r="B1153" s="55">
        <v>205124934000</v>
      </c>
      <c r="C1153" s="55">
        <v>18530319700</v>
      </c>
      <c r="D1153" s="55">
        <v>0</v>
      </c>
      <c r="E1153" s="55">
        <v>2343340000</v>
      </c>
      <c r="F1153" s="55">
        <v>225998593700</v>
      </c>
      <c r="G1153" s="55">
        <v>61019620</v>
      </c>
      <c r="H1153" s="55">
        <v>1291393000</v>
      </c>
      <c r="I1153" s="55">
        <v>44835200000</v>
      </c>
      <c r="J1153" s="55">
        <v>46126593000</v>
      </c>
      <c r="L1153" s="55">
        <v>1769559000</v>
      </c>
      <c r="M1153" s="55">
        <v>0</v>
      </c>
      <c r="N1153" s="55">
        <v>1769559000</v>
      </c>
      <c r="O1153" s="55">
        <v>11240050000</v>
      </c>
      <c r="P1153" s="55">
        <v>0</v>
      </c>
      <c r="Q1153" s="55">
        <v>11240050000</v>
      </c>
      <c r="R1153" s="55">
        <v>1979497000</v>
      </c>
      <c r="S1153" s="55">
        <v>0</v>
      </c>
      <c r="T1153" s="55">
        <v>1979497000</v>
      </c>
      <c r="U1153" s="55">
        <v>227246000</v>
      </c>
      <c r="V1153" s="55">
        <v>0</v>
      </c>
      <c r="W1153" s="55">
        <v>227246000</v>
      </c>
      <c r="X1153" s="55">
        <v>31780000</v>
      </c>
      <c r="Y1153" s="55">
        <v>0</v>
      </c>
      <c r="Z1153" s="55">
        <v>31780000</v>
      </c>
      <c r="AA1153" s="55">
        <v>219469000</v>
      </c>
      <c r="AB1153" s="55">
        <v>0</v>
      </c>
      <c r="AC1153" s="55">
        <v>219469000</v>
      </c>
      <c r="AD1153" s="55">
        <v>1167000</v>
      </c>
      <c r="AE1153" s="55">
        <v>0</v>
      </c>
      <c r="AF1153" s="55">
        <v>1167000</v>
      </c>
      <c r="AG1153" s="55">
        <v>0</v>
      </c>
      <c r="AH1153" s="55">
        <v>0</v>
      </c>
      <c r="AI1153" s="55">
        <v>0</v>
      </c>
      <c r="AJ1153" s="55">
        <v>9880433</v>
      </c>
      <c r="AK1153" s="55">
        <v>0</v>
      </c>
      <c r="AL1153" s="55">
        <v>44933</v>
      </c>
      <c r="AM1153" s="55">
        <v>1893</v>
      </c>
      <c r="AN1153" s="55">
        <v>8621550</v>
      </c>
      <c r="AO1153" s="55">
        <v>5111100</v>
      </c>
      <c r="AQ1153" s="55">
        <v>45964740685600</v>
      </c>
      <c r="AR1153" s="55">
        <v>200824770000</v>
      </c>
      <c r="AS1153" s="55">
        <v>105990253000</v>
      </c>
      <c r="AT1153" s="55">
        <v>331988846700</v>
      </c>
      <c r="AU1153" s="55">
        <f t="shared" si="797"/>
        <v>84632703</v>
      </c>
      <c r="AV1153" s="99">
        <f t="shared" si="796"/>
        <v>42530136548.309723</v>
      </c>
    </row>
    <row r="1154" spans="1:48">
      <c r="A1154" s="92">
        <v>45364</v>
      </c>
      <c r="B1154" s="55">
        <v>159466825000</v>
      </c>
      <c r="C1154" s="55">
        <v>0</v>
      </c>
      <c r="D1154" s="55">
        <v>0</v>
      </c>
      <c r="E1154" s="55">
        <v>0</v>
      </c>
      <c r="F1154" s="55">
        <v>159466825000</v>
      </c>
      <c r="G1154" s="55">
        <v>43056043</v>
      </c>
      <c r="H1154" s="55">
        <v>2046591000</v>
      </c>
      <c r="I1154" s="55">
        <v>2188800000</v>
      </c>
      <c r="J1154" s="55">
        <v>4235391000</v>
      </c>
      <c r="L1154" s="55">
        <v>20487889000</v>
      </c>
      <c r="M1154" s="55">
        <v>5932000000</v>
      </c>
      <c r="N1154" s="55">
        <v>26419889000</v>
      </c>
      <c r="O1154" s="55">
        <v>899974000</v>
      </c>
      <c r="P1154" s="55">
        <v>0</v>
      </c>
      <c r="Q1154" s="55">
        <v>899974000</v>
      </c>
      <c r="R1154" s="55">
        <v>1435196000</v>
      </c>
      <c r="S1154" s="55">
        <v>0</v>
      </c>
      <c r="T1154" s="55">
        <v>1435196000</v>
      </c>
      <c r="U1154" s="55">
        <v>115699000</v>
      </c>
      <c r="V1154" s="55">
        <v>0</v>
      </c>
      <c r="W1154" s="55">
        <v>115699000</v>
      </c>
      <c r="X1154" s="55">
        <v>575273000</v>
      </c>
      <c r="Y1154" s="55">
        <v>0</v>
      </c>
      <c r="Z1154" s="55">
        <v>575273000</v>
      </c>
      <c r="AA1154" s="55">
        <v>534322000</v>
      </c>
      <c r="AB1154" s="55">
        <v>0</v>
      </c>
      <c r="AC1154" s="55">
        <v>534322000</v>
      </c>
      <c r="AD1154" s="55">
        <v>7018000</v>
      </c>
      <c r="AE1154" s="55">
        <v>0</v>
      </c>
      <c r="AF1154" s="55">
        <v>7018000</v>
      </c>
      <c r="AG1154" s="55">
        <v>0</v>
      </c>
      <c r="AH1154" s="55">
        <v>0</v>
      </c>
      <c r="AI1154" s="55">
        <v>0</v>
      </c>
      <c r="AJ1154" s="55">
        <v>4280756</v>
      </c>
      <c r="AK1154" s="55">
        <v>0</v>
      </c>
      <c r="AL1154" s="55">
        <v>44933</v>
      </c>
      <c r="AM1154" s="55">
        <v>1577</v>
      </c>
      <c r="AN1154" s="55">
        <v>10276500</v>
      </c>
      <c r="AO1154" s="55">
        <v>4257900</v>
      </c>
      <c r="AQ1154" s="55">
        <v>58416542975000</v>
      </c>
      <c r="AR1154" s="55">
        <v>95384944000</v>
      </c>
      <c r="AS1154" s="55">
        <v>43022176000</v>
      </c>
      <c r="AT1154" s="55">
        <v>202489001000</v>
      </c>
      <c r="AU1154" s="55">
        <f t="shared" si="797"/>
        <v>61871199</v>
      </c>
      <c r="AV1154" s="99">
        <f t="shared" si="796"/>
        <v>42592007747.309723</v>
      </c>
    </row>
    <row r="1155" spans="1:48">
      <c r="A1155" s="92">
        <v>45365</v>
      </c>
      <c r="B1155" s="55">
        <v>232429892000.34</v>
      </c>
      <c r="C1155" s="55">
        <v>0</v>
      </c>
      <c r="D1155" s="55">
        <v>0</v>
      </c>
      <c r="E1155" s="55">
        <v>0</v>
      </c>
      <c r="F1155" s="55">
        <v>232429892000.34</v>
      </c>
      <c r="G1155" s="55">
        <v>62756071</v>
      </c>
      <c r="H1155" s="55">
        <v>1526863000</v>
      </c>
      <c r="I1155" s="55">
        <v>0</v>
      </c>
      <c r="J1155" s="55">
        <v>1526863000</v>
      </c>
      <c r="L1155" s="55">
        <v>8677859000</v>
      </c>
      <c r="M1155" s="55">
        <v>0</v>
      </c>
      <c r="N1155" s="55">
        <v>8677859000</v>
      </c>
      <c r="O1155" s="55">
        <v>1399978000</v>
      </c>
      <c r="P1155" s="55">
        <v>0</v>
      </c>
      <c r="Q1155" s="55">
        <v>1399978000</v>
      </c>
      <c r="R1155" s="55">
        <v>863860000</v>
      </c>
      <c r="S1155" s="55">
        <v>0</v>
      </c>
      <c r="T1155" s="55">
        <v>863860000</v>
      </c>
      <c r="U1155" s="55">
        <v>403766000</v>
      </c>
      <c r="V1155" s="55">
        <v>0</v>
      </c>
      <c r="W1155" s="55">
        <v>403766000</v>
      </c>
      <c r="X1155" s="55">
        <v>157542000</v>
      </c>
      <c r="Y1155" s="55">
        <v>0</v>
      </c>
      <c r="Z1155" s="55">
        <v>157542000</v>
      </c>
      <c r="AA1155" s="55">
        <v>207919000</v>
      </c>
      <c r="AB1155" s="55">
        <v>0</v>
      </c>
      <c r="AC1155" s="55">
        <v>207919000</v>
      </c>
      <c r="AD1155" s="55">
        <v>36714000</v>
      </c>
      <c r="AE1155" s="55">
        <v>0</v>
      </c>
      <c r="AF1155" s="55">
        <v>36714000</v>
      </c>
      <c r="AG1155" s="55">
        <v>0</v>
      </c>
      <c r="AH1155" s="55">
        <v>0</v>
      </c>
      <c r="AI1155" s="55">
        <v>0</v>
      </c>
      <c r="AJ1155" s="55">
        <v>1433646</v>
      </c>
      <c r="AK1155" s="55">
        <v>0</v>
      </c>
      <c r="AL1155" s="55">
        <v>44933</v>
      </c>
      <c r="AM1155" s="55">
        <v>2080</v>
      </c>
      <c r="AN1155" s="55">
        <v>7349100</v>
      </c>
      <c r="AO1155" s="55">
        <v>5616000</v>
      </c>
      <c r="AQ1155" s="55">
        <v>64219661469800</v>
      </c>
      <c r="AR1155" s="55">
        <v>48270400000</v>
      </c>
      <c r="AS1155" s="55">
        <v>13289471000</v>
      </c>
      <c r="AT1155" s="55">
        <v>245719363000.34</v>
      </c>
      <c r="AU1155" s="55">
        <f t="shared" si="797"/>
        <v>77154817</v>
      </c>
      <c r="AV1155" s="99">
        <f t="shared" si="796"/>
        <v>42669162564.309723</v>
      </c>
    </row>
    <row r="1156" spans="1:48">
      <c r="A1156" s="92">
        <v>45366</v>
      </c>
      <c r="B1156" s="55">
        <v>212360870000</v>
      </c>
      <c r="C1156" s="55">
        <v>0</v>
      </c>
      <c r="D1156" s="55">
        <v>0</v>
      </c>
      <c r="E1156" s="55">
        <v>0</v>
      </c>
      <c r="F1156" s="55">
        <v>212360870000</v>
      </c>
      <c r="G1156" s="55">
        <v>57337435</v>
      </c>
      <c r="H1156" s="55">
        <v>1122836000</v>
      </c>
      <c r="I1156" s="55">
        <v>0</v>
      </c>
      <c r="J1156" s="55">
        <v>1122836000</v>
      </c>
      <c r="L1156" s="55">
        <v>18448999000</v>
      </c>
      <c r="M1156" s="55">
        <v>0</v>
      </c>
      <c r="N1156" s="55">
        <v>18448999000</v>
      </c>
      <c r="O1156" s="55">
        <v>24729575000</v>
      </c>
      <c r="P1156" s="55">
        <v>0</v>
      </c>
      <c r="Q1156" s="55">
        <v>24729575000</v>
      </c>
      <c r="R1156" s="55">
        <v>1613486000</v>
      </c>
      <c r="S1156" s="55">
        <v>0</v>
      </c>
      <c r="T1156" s="55">
        <v>1613486000</v>
      </c>
      <c r="U1156" s="55">
        <v>247624000</v>
      </c>
      <c r="V1156" s="55">
        <v>0</v>
      </c>
      <c r="W1156" s="55">
        <v>247624000</v>
      </c>
      <c r="X1156" s="55">
        <v>52078000</v>
      </c>
      <c r="Y1156" s="55">
        <v>0</v>
      </c>
      <c r="Z1156" s="55">
        <v>52078000</v>
      </c>
      <c r="AA1156" s="55">
        <v>545799000</v>
      </c>
      <c r="AB1156" s="55">
        <v>0</v>
      </c>
      <c r="AC1156" s="55">
        <v>545799000</v>
      </c>
      <c r="AD1156" s="55">
        <v>0</v>
      </c>
      <c r="AE1156" s="55">
        <v>0</v>
      </c>
      <c r="AF1156" s="55">
        <v>0</v>
      </c>
      <c r="AG1156" s="55">
        <v>0</v>
      </c>
      <c r="AH1156" s="55">
        <v>0</v>
      </c>
      <c r="AI1156" s="55">
        <v>0</v>
      </c>
      <c r="AJ1156" s="55">
        <v>5050123</v>
      </c>
      <c r="AK1156" s="55">
        <v>0</v>
      </c>
      <c r="AL1156" s="55">
        <v>44933</v>
      </c>
      <c r="AM1156" s="55">
        <v>2834</v>
      </c>
      <c r="AN1156" s="55">
        <v>28274400</v>
      </c>
      <c r="AO1156" s="55">
        <v>7651800</v>
      </c>
      <c r="AQ1156" s="55">
        <v>60942387896800</v>
      </c>
      <c r="AR1156" s="55">
        <v>146781620000</v>
      </c>
      <c r="AS1156" s="55">
        <v>47181574000</v>
      </c>
      <c r="AT1156" s="55">
        <v>259542444000</v>
      </c>
      <c r="AU1156" s="55">
        <f t="shared" ref="AU1156:AU1160" si="798">G1156+AJ1156+AK1156+AN1156+AO1156+AP1156</f>
        <v>98313758</v>
      </c>
      <c r="AV1156" s="99">
        <f t="shared" ref="AV1156:AV1160" si="799">AV1155+AU1156</f>
        <v>42767476322.309723</v>
      </c>
    </row>
    <row r="1157" spans="1:48">
      <c r="A1157" s="92">
        <v>45369</v>
      </c>
      <c r="B1157" s="55">
        <v>254261209000</v>
      </c>
      <c r="C1157" s="55">
        <v>0</v>
      </c>
      <c r="D1157" s="55">
        <v>0</v>
      </c>
      <c r="E1157" s="55">
        <v>0</v>
      </c>
      <c r="F1157" s="55">
        <v>254261209000</v>
      </c>
      <c r="G1157" s="55">
        <v>68650526</v>
      </c>
      <c r="H1157" s="55">
        <v>16404653000</v>
      </c>
      <c r="I1157" s="55">
        <v>10606500000</v>
      </c>
      <c r="J1157" s="55">
        <v>27011153000</v>
      </c>
      <c r="L1157" s="55">
        <v>60816409000</v>
      </c>
      <c r="M1157" s="55">
        <v>14472500000</v>
      </c>
      <c r="N1157" s="55">
        <v>75288909000</v>
      </c>
      <c r="O1157" s="55">
        <v>23742249000</v>
      </c>
      <c r="P1157" s="55">
        <v>0</v>
      </c>
      <c r="Q1157" s="55">
        <v>23742249000</v>
      </c>
      <c r="R1157" s="55">
        <v>3918391000</v>
      </c>
      <c r="S1157" s="55">
        <v>0</v>
      </c>
      <c r="T1157" s="55">
        <v>3918391000</v>
      </c>
      <c r="U1157" s="55">
        <v>1364984000</v>
      </c>
      <c r="V1157" s="55">
        <v>0</v>
      </c>
      <c r="W1157" s="55">
        <v>1364984000</v>
      </c>
      <c r="X1157" s="55">
        <v>424198000</v>
      </c>
      <c r="Y1157" s="55">
        <v>0</v>
      </c>
      <c r="Z1157" s="55">
        <v>424198000</v>
      </c>
      <c r="AA1157" s="55">
        <v>746442000</v>
      </c>
      <c r="AB1157" s="55">
        <v>0</v>
      </c>
      <c r="AC1157" s="55">
        <v>746442000</v>
      </c>
      <c r="AD1157" s="55">
        <v>118776000</v>
      </c>
      <c r="AE1157" s="55">
        <v>0</v>
      </c>
      <c r="AF1157" s="55">
        <v>118776000</v>
      </c>
      <c r="AG1157" s="55">
        <v>0</v>
      </c>
      <c r="AH1157" s="55">
        <v>0</v>
      </c>
      <c r="AI1157" s="55">
        <v>0</v>
      </c>
      <c r="AJ1157" s="55">
        <v>16128119</v>
      </c>
      <c r="AK1157" s="55">
        <v>0</v>
      </c>
      <c r="AL1157" s="55">
        <v>44933</v>
      </c>
      <c r="AM1157" s="55">
        <v>3919</v>
      </c>
      <c r="AN1157" s="55">
        <v>10891050</v>
      </c>
      <c r="AO1157" s="55">
        <v>10581300</v>
      </c>
      <c r="AQ1157" s="55">
        <v>95500654898000</v>
      </c>
      <c r="AR1157" s="55">
        <v>2020935124000</v>
      </c>
      <c r="AS1157" s="55">
        <v>158210480000</v>
      </c>
      <c r="AT1157" s="55">
        <v>412471689000</v>
      </c>
      <c r="AU1157" s="55">
        <f t="shared" si="798"/>
        <v>106250995</v>
      </c>
      <c r="AV1157" s="99">
        <f t="shared" si="799"/>
        <v>42873727317.309723</v>
      </c>
    </row>
    <row r="1158" spans="1:48">
      <c r="A1158" s="92">
        <v>45370</v>
      </c>
      <c r="B1158" s="55">
        <v>184804023000</v>
      </c>
      <c r="C1158" s="55">
        <v>0</v>
      </c>
      <c r="D1158" s="55">
        <v>0</v>
      </c>
      <c r="E1158" s="55">
        <v>0</v>
      </c>
      <c r="F1158" s="55">
        <v>184804023000</v>
      </c>
      <c r="G1158" s="55">
        <v>49897086</v>
      </c>
      <c r="H1158" s="55">
        <v>14492524000</v>
      </c>
      <c r="I1158" s="55">
        <v>31972500000</v>
      </c>
      <c r="J1158" s="55">
        <v>46465024000</v>
      </c>
      <c r="L1158" s="55">
        <v>48509121000</v>
      </c>
      <c r="M1158" s="55">
        <v>0</v>
      </c>
      <c r="N1158" s="55">
        <v>48509121000</v>
      </c>
      <c r="O1158" s="55">
        <v>3393595000</v>
      </c>
      <c r="P1158" s="55">
        <v>0</v>
      </c>
      <c r="Q1158" s="55">
        <v>3393595000</v>
      </c>
      <c r="R1158" s="55">
        <v>1105505000</v>
      </c>
      <c r="S1158" s="55">
        <v>0</v>
      </c>
      <c r="T1158" s="55">
        <v>1105505000</v>
      </c>
      <c r="U1158" s="55">
        <v>74480000</v>
      </c>
      <c r="V1158" s="55">
        <v>0</v>
      </c>
      <c r="W1158" s="55">
        <v>74480000</v>
      </c>
      <c r="X1158" s="55">
        <v>19439000</v>
      </c>
      <c r="Y1158" s="55">
        <v>0</v>
      </c>
      <c r="Z1158" s="55">
        <v>19439000</v>
      </c>
      <c r="AA1158" s="55">
        <v>161968000</v>
      </c>
      <c r="AB1158" s="55">
        <v>0</v>
      </c>
      <c r="AC1158" s="55">
        <v>161968000</v>
      </c>
      <c r="AD1158" s="55">
        <v>1149000</v>
      </c>
      <c r="AE1158" s="55">
        <v>0</v>
      </c>
      <c r="AF1158" s="55">
        <v>1149000</v>
      </c>
      <c r="AG1158" s="55">
        <v>0</v>
      </c>
      <c r="AH1158" s="55">
        <v>0</v>
      </c>
      <c r="AI1158" s="55">
        <v>0</v>
      </c>
      <c r="AJ1158" s="55">
        <v>13072890</v>
      </c>
      <c r="AK1158" s="55">
        <v>0</v>
      </c>
      <c r="AL1158" s="55">
        <v>44933</v>
      </c>
      <c r="AM1158" s="55">
        <v>4442</v>
      </c>
      <c r="AN1158" s="55">
        <v>9335550</v>
      </c>
      <c r="AO1158" s="55">
        <v>11993400</v>
      </c>
      <c r="AQ1158" s="55">
        <v>47647279123800</v>
      </c>
      <c r="AR1158" s="55">
        <v>1114815098000</v>
      </c>
      <c r="AS1158" s="55">
        <v>135076807000</v>
      </c>
      <c r="AT1158" s="55">
        <v>319880830000</v>
      </c>
      <c r="AU1158" s="55">
        <f t="shared" si="798"/>
        <v>84298926</v>
      </c>
      <c r="AV1158" s="99">
        <f t="shared" si="799"/>
        <v>42958026243.309723</v>
      </c>
    </row>
    <row r="1159" spans="1:48">
      <c r="A1159" s="92">
        <v>45371</v>
      </c>
      <c r="B1159" s="55">
        <v>165741740000</v>
      </c>
      <c r="C1159" s="55">
        <v>27561313400</v>
      </c>
      <c r="D1159" s="55">
        <v>0</v>
      </c>
      <c r="E1159" s="55">
        <v>0</v>
      </c>
      <c r="F1159" s="55">
        <v>193303053400</v>
      </c>
      <c r="G1159" s="55">
        <v>52191824</v>
      </c>
      <c r="H1159" s="55">
        <v>8184327000</v>
      </c>
      <c r="I1159" s="55">
        <v>4347400000</v>
      </c>
      <c r="J1159" s="55">
        <v>12531727000</v>
      </c>
      <c r="L1159" s="55">
        <v>100714971000</v>
      </c>
      <c r="M1159" s="55">
        <v>2984700000</v>
      </c>
      <c r="N1159" s="55">
        <v>103699671000</v>
      </c>
      <c r="O1159" s="55">
        <v>3341510000</v>
      </c>
      <c r="P1159" s="55">
        <v>0</v>
      </c>
      <c r="Q1159" s="55">
        <v>3341510000</v>
      </c>
      <c r="R1159" s="55">
        <v>2591263000</v>
      </c>
      <c r="S1159" s="55">
        <v>0</v>
      </c>
      <c r="T1159" s="55">
        <v>2591263000</v>
      </c>
      <c r="U1159" s="55">
        <v>10843254000</v>
      </c>
      <c r="V1159" s="55">
        <v>0</v>
      </c>
      <c r="W1159" s="55">
        <v>10843254000</v>
      </c>
      <c r="X1159" s="55">
        <v>587389000</v>
      </c>
      <c r="Y1159" s="55">
        <v>0</v>
      </c>
      <c r="Z1159" s="55">
        <v>587389000</v>
      </c>
      <c r="AA1159" s="55">
        <v>632345000</v>
      </c>
      <c r="AB1159" s="55">
        <v>0</v>
      </c>
      <c r="AC1159" s="55">
        <v>632345000</v>
      </c>
      <c r="AD1159" s="55">
        <v>1184000</v>
      </c>
      <c r="AE1159" s="55">
        <v>0</v>
      </c>
      <c r="AF1159" s="55">
        <v>1184000</v>
      </c>
      <c r="AG1159" s="55">
        <v>0</v>
      </c>
      <c r="AH1159" s="55">
        <v>0</v>
      </c>
      <c r="AI1159" s="55">
        <v>0</v>
      </c>
      <c r="AJ1159" s="55">
        <v>15024572</v>
      </c>
      <c r="AK1159" s="55">
        <v>0</v>
      </c>
      <c r="AL1159" s="55">
        <v>44933</v>
      </c>
      <c r="AM1159" s="55">
        <v>2451</v>
      </c>
      <c r="AN1159" s="55">
        <v>9735900</v>
      </c>
      <c r="AO1159" s="55">
        <v>6617700</v>
      </c>
      <c r="AQ1159" s="55">
        <v>50024918122000</v>
      </c>
      <c r="AR1159" s="55">
        <v>871073446000</v>
      </c>
      <c r="AS1159" s="55">
        <v>163702029000</v>
      </c>
      <c r="AT1159" s="55">
        <v>357005082400</v>
      </c>
      <c r="AU1159" s="55">
        <f t="shared" si="798"/>
        <v>83569996</v>
      </c>
      <c r="AV1159" s="99">
        <f t="shared" si="799"/>
        <v>43041596239.309723</v>
      </c>
    </row>
    <row r="1160" spans="1:48">
      <c r="A1160" s="92">
        <v>45372</v>
      </c>
      <c r="B1160" s="55">
        <v>88424803999.699966</v>
      </c>
      <c r="C1160" s="55">
        <v>12978049100</v>
      </c>
      <c r="D1160" s="55">
        <v>0</v>
      </c>
      <c r="E1160" s="55">
        <v>0</v>
      </c>
      <c r="F1160" s="55">
        <v>101402853099.69997</v>
      </c>
      <c r="G1160" s="55">
        <v>27378770</v>
      </c>
      <c r="H1160" s="55">
        <v>11399931000</v>
      </c>
      <c r="I1160" s="55">
        <v>0</v>
      </c>
      <c r="J1160" s="55">
        <v>11399931000</v>
      </c>
      <c r="L1160" s="55">
        <v>4529302000</v>
      </c>
      <c r="M1160" s="55">
        <v>0</v>
      </c>
      <c r="N1160" s="55">
        <v>4529302000</v>
      </c>
      <c r="O1160" s="55">
        <v>9720613000</v>
      </c>
      <c r="P1160" s="55">
        <v>3177045000</v>
      </c>
      <c r="Q1160" s="55">
        <v>12897658000</v>
      </c>
      <c r="R1160" s="55">
        <v>1197553000</v>
      </c>
      <c r="S1160" s="55">
        <v>0</v>
      </c>
      <c r="T1160" s="55">
        <v>1197553000</v>
      </c>
      <c r="U1160" s="55">
        <v>441252000</v>
      </c>
      <c r="V1160" s="55">
        <v>0</v>
      </c>
      <c r="W1160" s="55">
        <v>441252000</v>
      </c>
      <c r="X1160" s="55">
        <v>307398000</v>
      </c>
      <c r="Y1160" s="55">
        <v>0</v>
      </c>
      <c r="Z1160" s="55">
        <v>307398000</v>
      </c>
      <c r="AA1160" s="55">
        <v>92797000</v>
      </c>
      <c r="AB1160" s="55">
        <v>0</v>
      </c>
      <c r="AC1160" s="55">
        <v>92797000</v>
      </c>
      <c r="AD1160" s="55">
        <v>556135000</v>
      </c>
      <c r="AE1160" s="55">
        <v>0</v>
      </c>
      <c r="AF1160" s="55">
        <v>556135000</v>
      </c>
      <c r="AG1160" s="55">
        <v>0</v>
      </c>
      <c r="AH1160" s="55">
        <v>0</v>
      </c>
      <c r="AI1160" s="55">
        <v>0</v>
      </c>
      <c r="AJ1160" s="55">
        <v>3622326</v>
      </c>
      <c r="AK1160" s="55">
        <v>0</v>
      </c>
      <c r="AL1160" s="55">
        <v>44933</v>
      </c>
      <c r="AM1160" s="55">
        <v>1155</v>
      </c>
      <c r="AN1160" s="55">
        <v>9437550</v>
      </c>
      <c r="AO1160" s="55">
        <v>3118500</v>
      </c>
      <c r="AQ1160" s="55">
        <v>67580558618400</v>
      </c>
      <c r="AR1160" s="55">
        <v>103758848000</v>
      </c>
      <c r="AS1160" s="55">
        <v>31437151000</v>
      </c>
      <c r="AT1160" s="55">
        <v>132840004099.69997</v>
      </c>
      <c r="AU1160" s="55">
        <f t="shared" si="798"/>
        <v>43557146</v>
      </c>
      <c r="AV1160" s="99">
        <f t="shared" si="799"/>
        <v>43085153385.309723</v>
      </c>
    </row>
    <row r="1161" spans="1:48">
      <c r="A1161" s="92">
        <v>45373</v>
      </c>
      <c r="B1161" s="55">
        <v>240472071800</v>
      </c>
      <c r="C1161" s="55">
        <v>35316845000</v>
      </c>
      <c r="D1161" s="55">
        <v>0</v>
      </c>
      <c r="E1161" s="55">
        <v>0</v>
      </c>
      <c r="F1161" s="55">
        <v>275788916800</v>
      </c>
      <c r="G1161" s="55">
        <v>74463008</v>
      </c>
      <c r="H1161" s="55">
        <v>8549876000</v>
      </c>
      <c r="I1161" s="55">
        <v>0</v>
      </c>
      <c r="J1161" s="55">
        <v>8549876000</v>
      </c>
      <c r="L1161" s="55">
        <v>46269339000</v>
      </c>
      <c r="M1161" s="55">
        <v>0</v>
      </c>
      <c r="N1161" s="55">
        <v>46269339000</v>
      </c>
      <c r="O1161" s="55">
        <v>12267717000</v>
      </c>
      <c r="P1161" s="55">
        <v>0</v>
      </c>
      <c r="Q1161" s="55">
        <v>12267717000</v>
      </c>
      <c r="R1161" s="55">
        <v>1446435000</v>
      </c>
      <c r="S1161" s="55">
        <v>0</v>
      </c>
      <c r="T1161" s="55">
        <v>1446435000</v>
      </c>
      <c r="U1161" s="55">
        <v>244628000</v>
      </c>
      <c r="V1161" s="55">
        <v>0</v>
      </c>
      <c r="W1161" s="55">
        <v>244628000</v>
      </c>
      <c r="X1161" s="55">
        <v>514422000</v>
      </c>
      <c r="Y1161" s="55">
        <v>0</v>
      </c>
      <c r="Z1161" s="55">
        <v>514422000</v>
      </c>
      <c r="AA1161" s="55">
        <v>454316000</v>
      </c>
      <c r="AB1161" s="55">
        <v>0</v>
      </c>
      <c r="AC1161" s="55">
        <v>454316000</v>
      </c>
      <c r="AD1161" s="55">
        <v>235277000</v>
      </c>
      <c r="AE1161" s="55">
        <v>0</v>
      </c>
      <c r="AF1161" s="55">
        <v>235277000</v>
      </c>
      <c r="AG1161" s="55">
        <v>0</v>
      </c>
      <c r="AH1161" s="55">
        <v>0</v>
      </c>
      <c r="AI1161" s="55">
        <v>0</v>
      </c>
      <c r="AJ1161" s="55">
        <v>7558057</v>
      </c>
      <c r="AK1161" s="55">
        <v>0</v>
      </c>
      <c r="AL1161" s="55">
        <v>44933</v>
      </c>
      <c r="AM1161" s="55">
        <v>2681</v>
      </c>
      <c r="AN1161" s="55">
        <v>21955500</v>
      </c>
      <c r="AO1161" s="55">
        <v>7238700</v>
      </c>
      <c r="AQ1161" s="55">
        <v>75878392097200</v>
      </c>
      <c r="AR1161" s="55">
        <v>229213558000</v>
      </c>
      <c r="AS1161" s="55">
        <v>64388189000</v>
      </c>
      <c r="AT1161" s="55">
        <v>340629509800</v>
      </c>
      <c r="AU1161" s="55">
        <f t="shared" ref="AU1161:AU1165" si="800">G1161+AJ1161+AK1161+AN1161+AO1161+AP1161</f>
        <v>111215265</v>
      </c>
      <c r="AV1161" s="99">
        <f t="shared" ref="AV1161:AV1165" si="801">AV1160+AU1161</f>
        <v>43196368650.309723</v>
      </c>
    </row>
    <row r="1162" spans="1:48">
      <c r="A1162" s="92">
        <v>45376</v>
      </c>
      <c r="B1162" s="55">
        <v>201172213000</v>
      </c>
      <c r="C1162" s="55">
        <v>0</v>
      </c>
      <c r="D1162" s="55">
        <v>0</v>
      </c>
      <c r="E1162" s="55">
        <v>0</v>
      </c>
      <c r="F1162" s="55">
        <v>201172213000</v>
      </c>
      <c r="G1162" s="55">
        <v>54316498</v>
      </c>
      <c r="H1162" s="55">
        <v>5397049000</v>
      </c>
      <c r="I1162" s="55">
        <v>42006300000</v>
      </c>
      <c r="J1162" s="55">
        <v>47403349000</v>
      </c>
      <c r="L1162" s="55">
        <v>7193321000</v>
      </c>
      <c r="M1162" s="55">
        <v>0</v>
      </c>
      <c r="N1162" s="55">
        <v>7193321000</v>
      </c>
      <c r="O1162" s="55">
        <v>14295524000</v>
      </c>
      <c r="P1162" s="55">
        <v>0</v>
      </c>
      <c r="Q1162" s="55">
        <v>14295524000</v>
      </c>
      <c r="R1162" s="55">
        <v>810047000</v>
      </c>
      <c r="S1162" s="55">
        <v>0</v>
      </c>
      <c r="T1162" s="55">
        <v>810047000</v>
      </c>
      <c r="U1162" s="55">
        <v>10039855000</v>
      </c>
      <c r="V1162" s="55">
        <v>0</v>
      </c>
      <c r="W1162" s="55">
        <v>10039855000</v>
      </c>
      <c r="X1162" s="55">
        <v>7594000</v>
      </c>
      <c r="Y1162" s="55">
        <v>0</v>
      </c>
      <c r="Z1162" s="55">
        <v>7594000</v>
      </c>
      <c r="AA1162" s="55">
        <v>877725000</v>
      </c>
      <c r="AB1162" s="55">
        <v>0</v>
      </c>
      <c r="AC1162" s="55">
        <v>877725000</v>
      </c>
      <c r="AD1162" s="55">
        <v>455238000</v>
      </c>
      <c r="AE1162" s="55">
        <v>0</v>
      </c>
      <c r="AF1162" s="55">
        <v>455238000</v>
      </c>
      <c r="AG1162" s="55">
        <v>0</v>
      </c>
      <c r="AH1162" s="55">
        <v>0</v>
      </c>
      <c r="AI1162" s="55">
        <v>0</v>
      </c>
      <c r="AJ1162" s="55">
        <v>11781380</v>
      </c>
      <c r="AK1162" s="55">
        <v>0</v>
      </c>
      <c r="AL1162" s="55">
        <v>44933</v>
      </c>
      <c r="AM1162" s="55">
        <v>2177</v>
      </c>
      <c r="AN1162" s="55">
        <v>10151550</v>
      </c>
      <c r="AO1162" s="55">
        <v>5877900</v>
      </c>
      <c r="AQ1162" s="55">
        <v>65426045020000</v>
      </c>
      <c r="AR1162" s="55">
        <v>223058644000</v>
      </c>
      <c r="AS1162" s="55">
        <v>133132922000</v>
      </c>
      <c r="AT1162" s="55">
        <v>334305135000</v>
      </c>
      <c r="AU1162" s="55">
        <f t="shared" si="800"/>
        <v>82127328</v>
      </c>
      <c r="AV1162" s="99">
        <f t="shared" si="801"/>
        <v>43278495978.309723</v>
      </c>
    </row>
    <row r="1163" spans="1:48">
      <c r="A1163" s="92">
        <v>45377</v>
      </c>
      <c r="B1163" s="55">
        <v>91417435000</v>
      </c>
      <c r="C1163" s="55">
        <v>6509371000</v>
      </c>
      <c r="D1163" s="55">
        <v>0</v>
      </c>
      <c r="E1163" s="55">
        <v>7762190000</v>
      </c>
      <c r="F1163" s="55">
        <v>105688996000</v>
      </c>
      <c r="G1163" s="55">
        <v>28536029</v>
      </c>
      <c r="H1163" s="55">
        <v>7282680000</v>
      </c>
      <c r="I1163" s="55">
        <v>43901970000</v>
      </c>
      <c r="J1163" s="55">
        <v>51184650000</v>
      </c>
      <c r="L1163" s="55">
        <v>24437858000</v>
      </c>
      <c r="M1163" s="55">
        <v>6051800000</v>
      </c>
      <c r="N1163" s="55">
        <v>30489658000</v>
      </c>
      <c r="O1163" s="55">
        <v>4169306000</v>
      </c>
      <c r="P1163" s="55">
        <v>0</v>
      </c>
      <c r="Q1163" s="55">
        <v>4169306000</v>
      </c>
      <c r="R1163" s="55">
        <v>692704000</v>
      </c>
      <c r="S1163" s="55">
        <v>0</v>
      </c>
      <c r="T1163" s="55">
        <v>692704000</v>
      </c>
      <c r="U1163" s="55">
        <v>165222000</v>
      </c>
      <c r="V1163" s="55">
        <v>0</v>
      </c>
      <c r="W1163" s="55">
        <v>165222000</v>
      </c>
      <c r="X1163" s="55">
        <v>118472000</v>
      </c>
      <c r="Y1163" s="55">
        <v>0</v>
      </c>
      <c r="Z1163" s="55">
        <v>118472000</v>
      </c>
      <c r="AA1163" s="55">
        <v>429931000</v>
      </c>
      <c r="AB1163" s="55">
        <v>0</v>
      </c>
      <c r="AC1163" s="55">
        <v>429931000</v>
      </c>
      <c r="AD1163" s="55">
        <v>221108000</v>
      </c>
      <c r="AE1163" s="55">
        <v>0</v>
      </c>
      <c r="AF1163" s="55">
        <v>221108000</v>
      </c>
      <c r="AG1163" s="55">
        <v>0</v>
      </c>
      <c r="AH1163" s="55">
        <v>0</v>
      </c>
      <c r="AI1163" s="55">
        <v>0</v>
      </c>
      <c r="AJ1163" s="55">
        <v>13043545</v>
      </c>
      <c r="AK1163" s="55">
        <v>0</v>
      </c>
      <c r="AL1163" s="55">
        <v>44933</v>
      </c>
      <c r="AM1163" s="55">
        <v>1238</v>
      </c>
      <c r="AN1163" s="55">
        <v>11936550</v>
      </c>
      <c r="AO1163" s="55">
        <v>3342600</v>
      </c>
      <c r="AQ1163" s="55">
        <v>48170936249200</v>
      </c>
      <c r="AR1163" s="55">
        <v>207898660000</v>
      </c>
      <c r="AS1163" s="55">
        <v>137763626000</v>
      </c>
      <c r="AT1163" s="55">
        <v>243452622000</v>
      </c>
      <c r="AU1163" s="55">
        <f t="shared" si="800"/>
        <v>56858724</v>
      </c>
      <c r="AV1163" s="99">
        <f t="shared" si="801"/>
        <v>43335354702.309723</v>
      </c>
    </row>
    <row r="1164" spans="1:48">
      <c r="A1164" s="92">
        <v>45378</v>
      </c>
      <c r="B1164" s="55">
        <v>122484488000</v>
      </c>
      <c r="C1164" s="55">
        <v>0</v>
      </c>
      <c r="D1164" s="55">
        <v>0</v>
      </c>
      <c r="E1164" s="55">
        <v>0</v>
      </c>
      <c r="F1164" s="55">
        <v>122484488000</v>
      </c>
      <c r="G1164" s="55">
        <v>33070812</v>
      </c>
      <c r="H1164" s="55">
        <v>259092000</v>
      </c>
      <c r="I1164" s="55">
        <v>8864400000</v>
      </c>
      <c r="J1164" s="55">
        <v>9123492000</v>
      </c>
      <c r="L1164" s="55">
        <v>41292516000</v>
      </c>
      <c r="M1164" s="55">
        <v>9225900000</v>
      </c>
      <c r="N1164" s="55">
        <v>50518416000</v>
      </c>
      <c r="O1164" s="55">
        <v>12221139000</v>
      </c>
      <c r="P1164" s="55">
        <v>0</v>
      </c>
      <c r="Q1164" s="55">
        <v>12221139000</v>
      </c>
      <c r="R1164" s="55">
        <v>433166000</v>
      </c>
      <c r="S1164" s="55">
        <v>0</v>
      </c>
      <c r="T1164" s="55">
        <v>433166000</v>
      </c>
      <c r="U1164" s="55">
        <v>7950742000</v>
      </c>
      <c r="V1164" s="55">
        <v>0</v>
      </c>
      <c r="W1164" s="55">
        <v>7950742000</v>
      </c>
      <c r="X1164" s="55">
        <v>486741000</v>
      </c>
      <c r="Y1164" s="55">
        <v>0</v>
      </c>
      <c r="Z1164" s="55">
        <v>486741000</v>
      </c>
      <c r="AA1164" s="55">
        <v>142699000</v>
      </c>
      <c r="AB1164" s="55">
        <v>0</v>
      </c>
      <c r="AC1164" s="55">
        <v>142699000</v>
      </c>
      <c r="AD1164" s="55">
        <v>0</v>
      </c>
      <c r="AE1164" s="55">
        <v>0</v>
      </c>
      <c r="AF1164" s="55">
        <v>0</v>
      </c>
      <c r="AG1164" s="55">
        <v>0</v>
      </c>
      <c r="AH1164" s="55">
        <v>384000000</v>
      </c>
      <c r="AI1164" s="55">
        <v>384000000</v>
      </c>
      <c r="AJ1164" s="55">
        <v>10106272</v>
      </c>
      <c r="AK1164" s="55">
        <v>0</v>
      </c>
      <c r="AL1164" s="55">
        <v>44933</v>
      </c>
      <c r="AM1164" s="55">
        <v>1390</v>
      </c>
      <c r="AN1164" s="55">
        <v>10421850</v>
      </c>
      <c r="AO1164" s="55">
        <v>3753000</v>
      </c>
      <c r="AQ1164" s="55">
        <v>52815467632800</v>
      </c>
      <c r="AR1164" s="55">
        <v>316210918000</v>
      </c>
      <c r="AS1164" s="55">
        <v>107540339000</v>
      </c>
      <c r="AT1164" s="55">
        <v>230024827000</v>
      </c>
      <c r="AU1164" s="55">
        <f t="shared" si="800"/>
        <v>57351934</v>
      </c>
      <c r="AV1164" s="99">
        <f t="shared" si="801"/>
        <v>43392706636.309723</v>
      </c>
    </row>
    <row r="1165" spans="1:48">
      <c r="A1165" s="92">
        <v>45379</v>
      </c>
      <c r="B1165" s="55">
        <v>90278892999.539993</v>
      </c>
      <c r="C1165" s="55">
        <v>0</v>
      </c>
      <c r="D1165" s="55">
        <v>0</v>
      </c>
      <c r="E1165" s="55">
        <v>0</v>
      </c>
      <c r="F1165" s="55">
        <v>90278892999.539993</v>
      </c>
      <c r="G1165" s="55">
        <v>24375301</v>
      </c>
      <c r="H1165" s="55">
        <v>28772805000</v>
      </c>
      <c r="I1165" s="55">
        <v>21305600000</v>
      </c>
      <c r="J1165" s="55">
        <v>50078405000</v>
      </c>
      <c r="L1165" s="55">
        <v>11549337000</v>
      </c>
      <c r="M1165" s="55">
        <v>0</v>
      </c>
      <c r="N1165" s="55">
        <v>11549337000</v>
      </c>
      <c r="O1165" s="55">
        <v>17007040000</v>
      </c>
      <c r="P1165" s="55">
        <v>0</v>
      </c>
      <c r="Q1165" s="55">
        <v>17007040000</v>
      </c>
      <c r="R1165" s="55">
        <v>683850000</v>
      </c>
      <c r="S1165" s="55">
        <v>0</v>
      </c>
      <c r="T1165" s="55">
        <v>683850000</v>
      </c>
      <c r="U1165" s="55">
        <v>473159000</v>
      </c>
      <c r="V1165" s="55">
        <v>0</v>
      </c>
      <c r="W1165" s="55">
        <v>473159000</v>
      </c>
      <c r="X1165" s="55">
        <v>536384000</v>
      </c>
      <c r="Y1165" s="55">
        <v>0</v>
      </c>
      <c r="Z1165" s="55">
        <v>536384000</v>
      </c>
      <c r="AA1165" s="55">
        <v>240676000</v>
      </c>
      <c r="AB1165" s="55">
        <v>0</v>
      </c>
      <c r="AC1165" s="55">
        <v>240676000</v>
      </c>
      <c r="AD1165" s="55">
        <v>3682000</v>
      </c>
      <c r="AE1165" s="55">
        <v>0</v>
      </c>
      <c r="AF1165" s="55">
        <v>3682000</v>
      </c>
      <c r="AG1165" s="55">
        <v>0</v>
      </c>
      <c r="AH1165" s="55">
        <v>0</v>
      </c>
      <c r="AI1165" s="55">
        <v>0</v>
      </c>
      <c r="AJ1165" s="55">
        <v>10235837</v>
      </c>
      <c r="AK1165" s="55">
        <v>0</v>
      </c>
      <c r="AL1165" s="55">
        <v>44933</v>
      </c>
      <c r="AM1165" s="55">
        <v>1171</v>
      </c>
      <c r="AN1165" s="55">
        <v>10108200</v>
      </c>
      <c r="AO1165" s="55">
        <v>3161700</v>
      </c>
      <c r="AP1165" s="55">
        <f>174589914+(-77075753.5910339)</f>
        <v>97514160.408966094</v>
      </c>
      <c r="AQ1165" s="55">
        <v>56397949520000</v>
      </c>
      <c r="AR1165" s="55">
        <v>238835528000</v>
      </c>
      <c r="AS1165" s="55">
        <v>101958672000</v>
      </c>
      <c r="AT1165" s="55">
        <v>192237564999.53998</v>
      </c>
      <c r="AU1165" s="55">
        <f t="shared" si="800"/>
        <v>145395198.40896609</v>
      </c>
      <c r="AV1165" s="99">
        <f t="shared" si="801"/>
        <v>43538101834.718689</v>
      </c>
    </row>
    <row r="1166" spans="1:48">
      <c r="A1166" s="92">
        <v>45380</v>
      </c>
      <c r="B1166" s="55">
        <v>155138285000</v>
      </c>
      <c r="C1166" s="55">
        <v>6537710000</v>
      </c>
      <c r="D1166" s="55">
        <v>0</v>
      </c>
      <c r="E1166" s="55">
        <v>0</v>
      </c>
      <c r="F1166" s="55">
        <v>161675995000</v>
      </c>
      <c r="G1166" s="55">
        <v>43652519</v>
      </c>
      <c r="H1166" s="55">
        <v>2215875000</v>
      </c>
      <c r="I1166" s="55">
        <v>20150500000</v>
      </c>
      <c r="J1166" s="55">
        <v>22366375000</v>
      </c>
      <c r="L1166" s="55">
        <v>17721828000</v>
      </c>
      <c r="M1166" s="55">
        <v>0</v>
      </c>
      <c r="N1166" s="55">
        <v>17721828000</v>
      </c>
      <c r="O1166" s="55">
        <v>3712444000</v>
      </c>
      <c r="P1166" s="55">
        <v>0</v>
      </c>
      <c r="Q1166" s="55">
        <v>3712444000</v>
      </c>
      <c r="R1166" s="55">
        <v>2732559000</v>
      </c>
      <c r="S1166" s="55">
        <v>0</v>
      </c>
      <c r="T1166" s="55">
        <v>2732559000</v>
      </c>
      <c r="U1166" s="55">
        <v>121508000</v>
      </c>
      <c r="V1166" s="55">
        <v>0</v>
      </c>
      <c r="W1166" s="55">
        <v>121508000</v>
      </c>
      <c r="X1166" s="55">
        <v>264003000</v>
      </c>
      <c r="Y1166" s="55">
        <v>0</v>
      </c>
      <c r="Z1166" s="55">
        <v>264003000</v>
      </c>
      <c r="AA1166" s="55">
        <v>69330000</v>
      </c>
      <c r="AB1166" s="55">
        <v>0</v>
      </c>
      <c r="AC1166" s="55">
        <v>69330000</v>
      </c>
      <c r="AD1166" s="55">
        <v>0</v>
      </c>
      <c r="AE1166" s="55">
        <v>0</v>
      </c>
      <c r="AF1166" s="55">
        <v>0</v>
      </c>
      <c r="AG1166" s="55">
        <v>0</v>
      </c>
      <c r="AH1166" s="55">
        <v>0</v>
      </c>
      <c r="AI1166" s="55">
        <v>0</v>
      </c>
      <c r="AJ1166" s="55">
        <v>6525545</v>
      </c>
      <c r="AK1166" s="55">
        <v>0</v>
      </c>
      <c r="AL1166" s="55">
        <v>44933</v>
      </c>
      <c r="AM1166" s="55">
        <v>1259</v>
      </c>
      <c r="AN1166" s="55">
        <v>31326750</v>
      </c>
      <c r="AO1166" s="55">
        <v>3399300</v>
      </c>
      <c r="AQ1166" s="55">
        <v>50950138604400</v>
      </c>
      <c r="AR1166" s="55">
        <v>184617854000</v>
      </c>
      <c r="AS1166" s="55">
        <v>67185617000</v>
      </c>
      <c r="AT1166" s="55">
        <v>228861612000</v>
      </c>
      <c r="AU1166" s="55">
        <f t="shared" ref="AU1166:AU1170" si="802">G1166+AJ1166+AK1166+AN1166+AO1166+AP1166</f>
        <v>84904114</v>
      </c>
      <c r="AV1166" s="99">
        <f t="shared" ref="AV1166:AV1170" si="803">AV1165+AU1166</f>
        <v>43623005948.718689</v>
      </c>
    </row>
    <row r="1167" spans="1:48">
      <c r="A1167" s="92">
        <v>45383</v>
      </c>
      <c r="B1167" s="55">
        <v>118292698000</v>
      </c>
      <c r="C1167" s="55">
        <v>1695500</v>
      </c>
      <c r="D1167" s="55">
        <v>0</v>
      </c>
      <c r="E1167" s="55">
        <v>0</v>
      </c>
      <c r="F1167" s="55">
        <v>118294393500</v>
      </c>
      <c r="G1167" s="55">
        <v>31939486</v>
      </c>
      <c r="H1167" s="55">
        <v>3399730000</v>
      </c>
      <c r="I1167" s="55">
        <v>15578200000</v>
      </c>
      <c r="J1167" s="55">
        <v>18977930000</v>
      </c>
      <c r="L1167" s="55">
        <v>35523777000</v>
      </c>
      <c r="M1167" s="55">
        <v>12358400000</v>
      </c>
      <c r="N1167" s="55">
        <v>47882177000</v>
      </c>
      <c r="O1167" s="55">
        <v>8693312000</v>
      </c>
      <c r="P1167" s="55">
        <v>0</v>
      </c>
      <c r="Q1167" s="55">
        <v>8693312000</v>
      </c>
      <c r="R1167" s="55">
        <v>3270427000</v>
      </c>
      <c r="S1167" s="55">
        <v>0</v>
      </c>
      <c r="T1167" s="55">
        <v>3270427000</v>
      </c>
      <c r="U1167" s="55">
        <v>413774000</v>
      </c>
      <c r="V1167" s="55">
        <v>0</v>
      </c>
      <c r="W1167" s="55">
        <v>413774000</v>
      </c>
      <c r="X1167" s="55">
        <v>265043000</v>
      </c>
      <c r="Y1167" s="55">
        <v>0</v>
      </c>
      <c r="Z1167" s="55">
        <v>265043000</v>
      </c>
      <c r="AA1167" s="55">
        <v>894759000</v>
      </c>
      <c r="AB1167" s="55">
        <v>0</v>
      </c>
      <c r="AC1167" s="55">
        <v>894759000</v>
      </c>
      <c r="AD1167" s="55">
        <v>2464000</v>
      </c>
      <c r="AE1167" s="55">
        <v>0</v>
      </c>
      <c r="AF1167" s="55">
        <v>2464000</v>
      </c>
      <c r="AG1167" s="55">
        <v>0</v>
      </c>
      <c r="AH1167" s="55">
        <v>0</v>
      </c>
      <c r="AI1167" s="55">
        <v>0</v>
      </c>
      <c r="AJ1167" s="55">
        <v>10694623</v>
      </c>
      <c r="AK1167" s="55">
        <v>0</v>
      </c>
      <c r="AL1167" s="55">
        <v>44933</v>
      </c>
      <c r="AM1167" s="55">
        <v>1481</v>
      </c>
      <c r="AN1167" s="55">
        <v>10863000</v>
      </c>
      <c r="AO1167" s="55">
        <v>3998700</v>
      </c>
      <c r="AQ1167" s="55">
        <v>51917834700000</v>
      </c>
      <c r="AR1167" s="55">
        <v>270988000000</v>
      </c>
      <c r="AS1167" s="55">
        <v>1567000</v>
      </c>
      <c r="AT1167" s="55">
        <v>118295960500</v>
      </c>
      <c r="AU1167" s="55">
        <f t="shared" si="802"/>
        <v>57495809</v>
      </c>
      <c r="AV1167" s="99">
        <f t="shared" si="803"/>
        <v>43680501757.718689</v>
      </c>
    </row>
    <row r="1168" spans="1:48">
      <c r="A1168" s="92">
        <v>45384</v>
      </c>
      <c r="B1168" s="55">
        <v>171913395000</v>
      </c>
      <c r="C1168" s="55">
        <v>0</v>
      </c>
      <c r="D1168" s="55">
        <v>0</v>
      </c>
      <c r="E1168" s="55">
        <v>0</v>
      </c>
      <c r="F1168" s="55">
        <v>171913395000</v>
      </c>
      <c r="G1168" s="55">
        <v>46416617</v>
      </c>
      <c r="H1168" s="55">
        <v>38453729000</v>
      </c>
      <c r="I1168" s="55">
        <v>11067100000</v>
      </c>
      <c r="J1168" s="55">
        <v>49520829000</v>
      </c>
      <c r="L1168" s="55">
        <v>32467603000</v>
      </c>
      <c r="M1168" s="55">
        <v>0</v>
      </c>
      <c r="N1168" s="55">
        <v>32467603000</v>
      </c>
      <c r="O1168" s="55">
        <v>16784812000</v>
      </c>
      <c r="P1168" s="55">
        <v>0</v>
      </c>
      <c r="Q1168" s="55">
        <v>16784812000</v>
      </c>
      <c r="R1168" s="55">
        <v>1279067000</v>
      </c>
      <c r="S1168" s="55">
        <v>0</v>
      </c>
      <c r="T1168" s="55">
        <v>1279067000</v>
      </c>
      <c r="U1168" s="55">
        <v>491590000</v>
      </c>
      <c r="V1168" s="55">
        <v>0</v>
      </c>
      <c r="W1168" s="55">
        <v>491590000</v>
      </c>
      <c r="X1168" s="55">
        <v>522948000</v>
      </c>
      <c r="Y1168" s="55">
        <v>0</v>
      </c>
      <c r="Z1168" s="55">
        <v>522948000</v>
      </c>
      <c r="AA1168" s="55">
        <v>516970000</v>
      </c>
      <c r="AB1168" s="55">
        <v>0</v>
      </c>
      <c r="AC1168" s="55">
        <v>516970000</v>
      </c>
      <c r="AD1168" s="55">
        <v>1221000</v>
      </c>
      <c r="AE1168" s="55">
        <v>0</v>
      </c>
      <c r="AF1168" s="55">
        <v>1221000</v>
      </c>
      <c r="AG1168" s="55">
        <v>0</v>
      </c>
      <c r="AH1168" s="55">
        <v>0</v>
      </c>
      <c r="AI1168" s="55">
        <v>0</v>
      </c>
      <c r="AJ1168" s="55">
        <v>11768016</v>
      </c>
      <c r="AK1168" s="55">
        <v>0</v>
      </c>
      <c r="AL1168" s="55">
        <v>44933</v>
      </c>
      <c r="AM1168" s="55">
        <v>2207</v>
      </c>
      <c r="AN1168" s="55">
        <v>12370050</v>
      </c>
      <c r="AO1168" s="55">
        <v>5958900</v>
      </c>
      <c r="AQ1168" s="55">
        <v>61994275202600</v>
      </c>
      <c r="AR1168" s="55">
        <v>501770400000</v>
      </c>
      <c r="AS1168" s="55">
        <v>116178453000</v>
      </c>
      <c r="AT1168" s="55">
        <v>288093069000</v>
      </c>
      <c r="AU1168" s="55">
        <f t="shared" si="802"/>
        <v>76513583</v>
      </c>
      <c r="AV1168" s="99">
        <f t="shared" si="803"/>
        <v>43757015340.718689</v>
      </c>
    </row>
    <row r="1169" spans="1:48">
      <c r="A1169" s="92">
        <v>45385</v>
      </c>
      <c r="B1169" s="55">
        <v>235442332000</v>
      </c>
      <c r="C1169" s="55">
        <v>12402877800</v>
      </c>
      <c r="D1169" s="55">
        <v>0</v>
      </c>
      <c r="E1169" s="55">
        <v>0</v>
      </c>
      <c r="F1169" s="55">
        <v>247845209800</v>
      </c>
      <c r="G1169" s="55">
        <v>66918207</v>
      </c>
      <c r="H1169" s="55">
        <v>23971107000</v>
      </c>
      <c r="I1169" s="55">
        <v>46562400000</v>
      </c>
      <c r="J1169" s="55">
        <v>70533507000</v>
      </c>
      <c r="L1169" s="55">
        <v>44522758000</v>
      </c>
      <c r="M1169" s="55">
        <v>0</v>
      </c>
      <c r="N1169" s="55">
        <v>44522758000</v>
      </c>
      <c r="O1169" s="55">
        <v>226814000</v>
      </c>
      <c r="P1169" s="55">
        <v>0</v>
      </c>
      <c r="Q1169" s="55">
        <v>226814000</v>
      </c>
      <c r="R1169" s="55">
        <v>3803083000</v>
      </c>
      <c r="S1169" s="55">
        <v>0</v>
      </c>
      <c r="T1169" s="55">
        <v>3803083000</v>
      </c>
      <c r="U1169" s="55">
        <v>375228000</v>
      </c>
      <c r="V1169" s="55">
        <v>0</v>
      </c>
      <c r="W1169" s="55">
        <v>375228000</v>
      </c>
      <c r="X1169" s="55">
        <v>297194000</v>
      </c>
      <c r="Y1169" s="55">
        <v>0</v>
      </c>
      <c r="Z1169" s="55">
        <v>297194000</v>
      </c>
      <c r="AA1169" s="55">
        <v>457800000</v>
      </c>
      <c r="AB1169" s="55">
        <v>0</v>
      </c>
      <c r="AC1169" s="55">
        <v>457800000</v>
      </c>
      <c r="AD1169" s="55">
        <v>0</v>
      </c>
      <c r="AE1169" s="55">
        <v>0</v>
      </c>
      <c r="AF1169" s="55">
        <v>0</v>
      </c>
      <c r="AG1169" s="55">
        <v>0</v>
      </c>
      <c r="AH1169" s="55">
        <v>0</v>
      </c>
      <c r="AI1169" s="55">
        <v>0</v>
      </c>
      <c r="AJ1169" s="55">
        <v>16335862</v>
      </c>
      <c r="AK1169" s="55">
        <v>0</v>
      </c>
      <c r="AL1169" s="55">
        <v>44933</v>
      </c>
      <c r="AM1169" s="55">
        <v>3069</v>
      </c>
      <c r="AN1169" s="55">
        <v>7701000</v>
      </c>
      <c r="AO1169" s="55">
        <v>8286300</v>
      </c>
      <c r="AQ1169" s="55">
        <v>62082688586800</v>
      </c>
      <c r="AR1169" s="55">
        <v>359477856000</v>
      </c>
      <c r="AS1169" s="55">
        <v>168112544000</v>
      </c>
      <c r="AT1169" s="55">
        <v>415957753800</v>
      </c>
      <c r="AU1169" s="55">
        <f t="shared" si="802"/>
        <v>99241369</v>
      </c>
      <c r="AV1169" s="99">
        <f t="shared" si="803"/>
        <v>43856256709.718689</v>
      </c>
    </row>
    <row r="1170" spans="1:48">
      <c r="A1170" s="92">
        <v>45386</v>
      </c>
      <c r="B1170" s="55">
        <v>229006581999.70001</v>
      </c>
      <c r="C1170" s="55">
        <v>0</v>
      </c>
      <c r="D1170" s="55">
        <v>0</v>
      </c>
      <c r="E1170" s="55">
        <v>0</v>
      </c>
      <c r="F1170" s="55">
        <v>229006581999.70001</v>
      </c>
      <c r="G1170" s="55">
        <v>61831777</v>
      </c>
      <c r="H1170" s="55">
        <v>11167129000</v>
      </c>
      <c r="I1170" s="55">
        <v>2189000000</v>
      </c>
      <c r="J1170" s="55">
        <v>13356129000</v>
      </c>
      <c r="L1170" s="55">
        <v>23248891000</v>
      </c>
      <c r="M1170" s="55">
        <v>6043400000</v>
      </c>
      <c r="N1170" s="55">
        <v>29292291000</v>
      </c>
      <c r="O1170" s="55">
        <v>10809401000</v>
      </c>
      <c r="P1170" s="55">
        <v>0</v>
      </c>
      <c r="Q1170" s="55">
        <v>10809401000</v>
      </c>
      <c r="R1170" s="55">
        <v>1204972000</v>
      </c>
      <c r="S1170" s="55">
        <v>0</v>
      </c>
      <c r="T1170" s="55">
        <v>1204972000</v>
      </c>
      <c r="U1170" s="55">
        <v>179900000</v>
      </c>
      <c r="V1170" s="55">
        <v>0</v>
      </c>
      <c r="W1170" s="55">
        <v>179900000</v>
      </c>
      <c r="X1170" s="55">
        <v>269639000</v>
      </c>
      <c r="Y1170" s="55">
        <v>29253500000</v>
      </c>
      <c r="Z1170" s="55">
        <v>29523139000</v>
      </c>
      <c r="AA1170" s="55">
        <v>1066020000</v>
      </c>
      <c r="AB1170" s="55">
        <v>0</v>
      </c>
      <c r="AC1170" s="55">
        <v>1066020000</v>
      </c>
      <c r="AD1170" s="55">
        <v>0</v>
      </c>
      <c r="AE1170" s="55">
        <v>0</v>
      </c>
      <c r="AF1170" s="55">
        <v>0</v>
      </c>
      <c r="AG1170" s="55">
        <v>0</v>
      </c>
      <c r="AH1170" s="55">
        <v>0</v>
      </c>
      <c r="AI1170" s="55">
        <v>0</v>
      </c>
      <c r="AJ1170" s="55">
        <v>11925625</v>
      </c>
      <c r="AK1170" s="55">
        <v>0</v>
      </c>
      <c r="AL1170" s="55">
        <v>44933</v>
      </c>
      <c r="AM1170" s="55">
        <v>2055</v>
      </c>
      <c r="AN1170" s="55">
        <v>10738050</v>
      </c>
      <c r="AO1170" s="55">
        <v>5548500</v>
      </c>
      <c r="AQ1170" s="55">
        <v>53753457726600</v>
      </c>
      <c r="AR1170" s="55">
        <v>456412330000</v>
      </c>
      <c r="AS1170" s="55">
        <v>123240221000</v>
      </c>
      <c r="AT1170" s="55">
        <v>352246802999.70001</v>
      </c>
      <c r="AU1170" s="55">
        <f t="shared" si="802"/>
        <v>90043952</v>
      </c>
      <c r="AV1170" s="99">
        <f t="shared" si="803"/>
        <v>43946300661.718689</v>
      </c>
    </row>
    <row r="1171" spans="1:48">
      <c r="A1171" s="92">
        <v>45387</v>
      </c>
      <c r="B1171" s="55">
        <v>161764820000</v>
      </c>
      <c r="C1171" s="55">
        <v>25712351550</v>
      </c>
      <c r="D1171" s="55">
        <v>0</v>
      </c>
      <c r="E1171" s="55">
        <v>0</v>
      </c>
      <c r="F1171" s="55">
        <v>187477171550</v>
      </c>
      <c r="G1171" s="55">
        <v>50618836</v>
      </c>
      <c r="H1171" s="55">
        <v>4640676000</v>
      </c>
      <c r="I1171" s="55">
        <v>5553900000</v>
      </c>
      <c r="J1171" s="55">
        <v>10194576000</v>
      </c>
      <c r="L1171" s="55">
        <v>6662045000</v>
      </c>
      <c r="M1171" s="55">
        <v>0</v>
      </c>
      <c r="N1171" s="55">
        <v>6662045000</v>
      </c>
      <c r="O1171" s="55">
        <v>9368282000</v>
      </c>
      <c r="P1171" s="55">
        <v>4524960000</v>
      </c>
      <c r="Q1171" s="55">
        <v>13893242000</v>
      </c>
      <c r="R1171" s="55">
        <v>2383596000</v>
      </c>
      <c r="S1171" s="55">
        <v>0</v>
      </c>
      <c r="T1171" s="55">
        <v>2383596000</v>
      </c>
      <c r="U1171" s="55">
        <v>306513000</v>
      </c>
      <c r="V1171" s="55">
        <v>0</v>
      </c>
      <c r="W1171" s="55">
        <v>306513000</v>
      </c>
      <c r="X1171" s="55">
        <v>0</v>
      </c>
      <c r="Y1171" s="55">
        <v>0</v>
      </c>
      <c r="Z1171" s="55">
        <v>0</v>
      </c>
      <c r="AA1171" s="55">
        <v>347086000</v>
      </c>
      <c r="AB1171" s="55">
        <v>0</v>
      </c>
      <c r="AC1171" s="55">
        <v>347086000</v>
      </c>
      <c r="AD1171" s="55">
        <v>1201000</v>
      </c>
      <c r="AE1171" s="55">
        <v>0</v>
      </c>
      <c r="AF1171" s="55">
        <v>1201000</v>
      </c>
      <c r="AG1171" s="55">
        <v>0</v>
      </c>
      <c r="AH1171" s="55">
        <v>2848050000</v>
      </c>
      <c r="AI1171" s="55">
        <v>2848050000</v>
      </c>
      <c r="AJ1171" s="55">
        <v>4887459</v>
      </c>
      <c r="AK1171" s="55">
        <v>0</v>
      </c>
      <c r="AL1171" s="55">
        <v>44933</v>
      </c>
      <c r="AM1171" s="55">
        <v>1771</v>
      </c>
      <c r="AN1171" s="55">
        <v>33476400</v>
      </c>
      <c r="AO1171" s="55">
        <v>4781700</v>
      </c>
      <c r="AQ1171" s="55">
        <v>57847584685800</v>
      </c>
      <c r="AR1171" s="55">
        <v>339013096000</v>
      </c>
      <c r="AS1171" s="55">
        <v>38498682000</v>
      </c>
      <c r="AT1171" s="55">
        <v>225977054550</v>
      </c>
      <c r="AU1171" s="55">
        <f t="shared" ref="AU1171:AU1175" si="804">G1171+AJ1171+AK1171+AN1171+AO1171+AP1171</f>
        <v>93764395</v>
      </c>
      <c r="AV1171" s="99">
        <f t="shared" ref="AV1171:AV1175" si="805">AV1170+AU1171</f>
        <v>44040065056.718689</v>
      </c>
    </row>
    <row r="1172" spans="1:48">
      <c r="A1172" s="92">
        <v>45390</v>
      </c>
      <c r="B1172" s="55">
        <v>163542827000</v>
      </c>
      <c r="C1172" s="55">
        <v>6381557500</v>
      </c>
      <c r="D1172" s="55">
        <v>499070000</v>
      </c>
      <c r="E1172" s="55">
        <v>9160510000</v>
      </c>
      <c r="F1172" s="55">
        <v>179583964500</v>
      </c>
      <c r="G1172" s="55">
        <v>48487670</v>
      </c>
      <c r="H1172" s="55">
        <v>186332000</v>
      </c>
      <c r="I1172" s="55">
        <v>0</v>
      </c>
      <c r="J1172" s="55">
        <v>186332000</v>
      </c>
      <c r="L1172" s="55">
        <v>6188933000</v>
      </c>
      <c r="M1172" s="55">
        <v>0</v>
      </c>
      <c r="N1172" s="55">
        <v>6188933000</v>
      </c>
      <c r="O1172" s="55">
        <v>489905000</v>
      </c>
      <c r="P1172" s="55">
        <v>0</v>
      </c>
      <c r="Q1172" s="55">
        <v>489905000</v>
      </c>
      <c r="R1172" s="55">
        <v>1253995000</v>
      </c>
      <c r="S1172" s="55">
        <v>0</v>
      </c>
      <c r="T1172" s="55">
        <v>1253995000</v>
      </c>
      <c r="U1172" s="55">
        <v>242612000</v>
      </c>
      <c r="V1172" s="55">
        <v>0</v>
      </c>
      <c r="W1172" s="55">
        <v>242612000</v>
      </c>
      <c r="X1172" s="55">
        <v>483144000</v>
      </c>
      <c r="Y1172" s="55">
        <v>0</v>
      </c>
      <c r="Z1172" s="55">
        <v>483144000</v>
      </c>
      <c r="AA1172" s="55">
        <v>76919000</v>
      </c>
      <c r="AB1172" s="55">
        <v>0</v>
      </c>
      <c r="AC1172" s="55">
        <v>76919000</v>
      </c>
      <c r="AD1172" s="55">
        <v>3607000</v>
      </c>
      <c r="AE1172" s="55">
        <v>0</v>
      </c>
      <c r="AF1172" s="55">
        <v>3607000</v>
      </c>
      <c r="AG1172" s="55">
        <v>0</v>
      </c>
      <c r="AH1172" s="55">
        <v>0</v>
      </c>
      <c r="AI1172" s="55">
        <v>0</v>
      </c>
      <c r="AJ1172" s="55">
        <v>963948</v>
      </c>
      <c r="AK1172" s="55">
        <v>0</v>
      </c>
      <c r="AL1172" s="55">
        <v>44933</v>
      </c>
      <c r="AM1172" s="55">
        <v>1768</v>
      </c>
      <c r="AN1172" s="55">
        <v>9659400</v>
      </c>
      <c r="AO1172" s="55">
        <v>4773600</v>
      </c>
      <c r="AQ1172" s="55">
        <v>46403286588800</v>
      </c>
      <c r="AR1172" s="55">
        <v>286090902000</v>
      </c>
      <c r="AS1172" s="55">
        <v>9246617000</v>
      </c>
      <c r="AT1172" s="55">
        <v>188834188500</v>
      </c>
      <c r="AU1172" s="55">
        <f t="shared" si="804"/>
        <v>63884618</v>
      </c>
      <c r="AV1172" s="99">
        <f t="shared" si="805"/>
        <v>44103949674.718689</v>
      </c>
    </row>
    <row r="1173" spans="1:48">
      <c r="A1173" s="92">
        <v>45391</v>
      </c>
      <c r="B1173" s="55">
        <v>91872048000</v>
      </c>
      <c r="C1173" s="55">
        <v>0</v>
      </c>
      <c r="D1173" s="55">
        <v>0</v>
      </c>
      <c r="E1173" s="55">
        <v>0</v>
      </c>
      <c r="F1173" s="55">
        <v>91872048000</v>
      </c>
      <c r="G1173" s="55">
        <v>24805453</v>
      </c>
      <c r="H1173" s="55">
        <v>0</v>
      </c>
      <c r="I1173" s="55">
        <v>15174400000</v>
      </c>
      <c r="J1173" s="55">
        <v>15174400000</v>
      </c>
      <c r="L1173" s="55">
        <v>54293085000</v>
      </c>
      <c r="M1173" s="55">
        <v>2995500000</v>
      </c>
      <c r="N1173" s="55">
        <v>57288585000</v>
      </c>
      <c r="O1173" s="55">
        <v>9289713000</v>
      </c>
      <c r="P1173" s="55">
        <v>0</v>
      </c>
      <c r="Q1173" s="55">
        <v>9289713000</v>
      </c>
      <c r="R1173" s="55">
        <v>2072353000</v>
      </c>
      <c r="S1173" s="55">
        <v>0</v>
      </c>
      <c r="T1173" s="55">
        <v>2072353000</v>
      </c>
      <c r="U1173" s="55">
        <v>178613000</v>
      </c>
      <c r="V1173" s="55">
        <v>0</v>
      </c>
      <c r="W1173" s="55">
        <v>178613000</v>
      </c>
      <c r="X1173" s="55">
        <v>9108000</v>
      </c>
      <c r="Y1173" s="55">
        <v>0</v>
      </c>
      <c r="Z1173" s="55">
        <v>9108000</v>
      </c>
      <c r="AA1173" s="55">
        <v>238616000</v>
      </c>
      <c r="AB1173" s="55">
        <v>0</v>
      </c>
      <c r="AC1173" s="55">
        <v>238616000</v>
      </c>
      <c r="AD1173" s="55">
        <v>4789000</v>
      </c>
      <c r="AE1173" s="55">
        <v>0</v>
      </c>
      <c r="AF1173" s="55">
        <v>4789000</v>
      </c>
      <c r="AG1173" s="55">
        <v>749400000</v>
      </c>
      <c r="AH1173" s="55">
        <v>0</v>
      </c>
      <c r="AI1173" s="55">
        <v>749400000</v>
      </c>
      <c r="AJ1173" s="55">
        <v>10488835</v>
      </c>
      <c r="AK1173" s="55">
        <v>0</v>
      </c>
      <c r="AL1173" s="55">
        <v>44933</v>
      </c>
      <c r="AM1173" s="55">
        <v>1231</v>
      </c>
      <c r="AN1173" s="55">
        <v>8478750</v>
      </c>
      <c r="AO1173" s="55">
        <v>3323700</v>
      </c>
      <c r="AQ1173" s="55">
        <v>38649841706600</v>
      </c>
      <c r="AR1173" s="55">
        <v>423097002000</v>
      </c>
      <c r="AS1173" s="55">
        <v>103722515000</v>
      </c>
      <c r="AT1173" s="55">
        <v>195599352000</v>
      </c>
      <c r="AU1173" s="55">
        <f t="shared" si="804"/>
        <v>47096738</v>
      </c>
      <c r="AV1173" s="99">
        <f t="shared" si="805"/>
        <v>44151046412.718689</v>
      </c>
    </row>
    <row r="1174" spans="1:48">
      <c r="A1174" s="92">
        <v>45392</v>
      </c>
      <c r="B1174" s="55">
        <v>198457011000</v>
      </c>
      <c r="C1174" s="55">
        <v>0</v>
      </c>
      <c r="D1174" s="55">
        <v>0</v>
      </c>
      <c r="E1174" s="55">
        <v>0</v>
      </c>
      <c r="F1174" s="55">
        <v>198457011000</v>
      </c>
      <c r="G1174" s="55">
        <v>53583393</v>
      </c>
      <c r="H1174" s="55">
        <v>636281000</v>
      </c>
      <c r="I1174" s="55">
        <v>19686400000</v>
      </c>
      <c r="J1174" s="55">
        <v>20322681000</v>
      </c>
      <c r="L1174" s="55">
        <v>35694827000</v>
      </c>
      <c r="M1174" s="55">
        <v>3054600000</v>
      </c>
      <c r="N1174" s="55">
        <v>38749427000</v>
      </c>
      <c r="O1174" s="55">
        <v>13755287000</v>
      </c>
      <c r="P1174" s="55">
        <v>0</v>
      </c>
      <c r="Q1174" s="55">
        <v>13755287000</v>
      </c>
      <c r="R1174" s="55">
        <v>934357000</v>
      </c>
      <c r="S1174" s="55">
        <v>0</v>
      </c>
      <c r="T1174" s="55">
        <v>934357000</v>
      </c>
      <c r="U1174" s="55">
        <v>427042000</v>
      </c>
      <c r="V1174" s="55">
        <v>0</v>
      </c>
      <c r="W1174" s="55">
        <v>427042000</v>
      </c>
      <c r="X1174" s="55">
        <v>825761000</v>
      </c>
      <c r="Y1174" s="55">
        <v>0</v>
      </c>
      <c r="Z1174" s="55">
        <v>825761000</v>
      </c>
      <c r="AA1174" s="55">
        <v>290239000</v>
      </c>
      <c r="AB1174" s="55">
        <v>0</v>
      </c>
      <c r="AC1174" s="55">
        <v>290239000</v>
      </c>
      <c r="AD1174" s="55">
        <v>1198000</v>
      </c>
      <c r="AE1174" s="55">
        <v>0</v>
      </c>
      <c r="AF1174" s="55">
        <v>1198000</v>
      </c>
      <c r="AG1174" s="55">
        <v>218657000</v>
      </c>
      <c r="AH1174" s="55">
        <v>0</v>
      </c>
      <c r="AI1174" s="55">
        <v>218657000</v>
      </c>
      <c r="AJ1174" s="55">
        <v>9794014</v>
      </c>
      <c r="AK1174" s="55">
        <v>0</v>
      </c>
      <c r="AL1174" s="55">
        <v>44933</v>
      </c>
      <c r="AM1174" s="55">
        <v>2209</v>
      </c>
      <c r="AN1174" s="55">
        <v>3289500</v>
      </c>
      <c r="AO1174" s="55">
        <v>5964300</v>
      </c>
      <c r="AQ1174" s="55">
        <v>37612435165000</v>
      </c>
      <c r="AR1174" s="55">
        <v>396314314000</v>
      </c>
      <c r="AS1174" s="55">
        <v>98693422000</v>
      </c>
      <c r="AT1174" s="55">
        <v>297151631000</v>
      </c>
      <c r="AU1174" s="55">
        <f t="shared" si="804"/>
        <v>72631207</v>
      </c>
      <c r="AV1174" s="99">
        <f t="shared" si="805"/>
        <v>44223677619.718689</v>
      </c>
    </row>
    <row r="1175" spans="1:48">
      <c r="A1175" s="92">
        <v>45393</v>
      </c>
      <c r="B1175" s="55">
        <v>81354473999.97998</v>
      </c>
      <c r="C1175" s="55">
        <v>0</v>
      </c>
      <c r="D1175" s="55">
        <v>0</v>
      </c>
      <c r="E1175" s="55">
        <v>0</v>
      </c>
      <c r="F1175" s="55">
        <v>81354473999.97998</v>
      </c>
      <c r="G1175" s="55">
        <v>21965708</v>
      </c>
      <c r="H1175" s="55">
        <v>7817842000</v>
      </c>
      <c r="I1175" s="55">
        <v>13052100000</v>
      </c>
      <c r="J1175" s="55">
        <v>20869942000</v>
      </c>
      <c r="L1175" s="55">
        <v>38378790000</v>
      </c>
      <c r="M1175" s="55">
        <v>3040900000</v>
      </c>
      <c r="N1175" s="55">
        <v>41419690000</v>
      </c>
      <c r="O1175" s="55">
        <v>28324082000</v>
      </c>
      <c r="P1175" s="55">
        <v>0</v>
      </c>
      <c r="Q1175" s="55">
        <v>28324082000</v>
      </c>
      <c r="R1175" s="55">
        <v>788303000</v>
      </c>
      <c r="S1175" s="55">
        <v>0</v>
      </c>
      <c r="T1175" s="55">
        <v>788303000</v>
      </c>
      <c r="U1175" s="55">
        <v>263105000</v>
      </c>
      <c r="V1175" s="55">
        <v>0</v>
      </c>
      <c r="W1175" s="55">
        <v>263105000</v>
      </c>
      <c r="X1175" s="55">
        <v>533685000</v>
      </c>
      <c r="Y1175" s="55">
        <v>0</v>
      </c>
      <c r="Z1175" s="55">
        <v>533685000</v>
      </c>
      <c r="AA1175" s="55">
        <v>71169000</v>
      </c>
      <c r="AB1175" s="55">
        <v>0</v>
      </c>
      <c r="AC1175" s="55">
        <v>71169000</v>
      </c>
      <c r="AD1175" s="55">
        <v>1190000</v>
      </c>
      <c r="AE1175" s="55">
        <v>0</v>
      </c>
      <c r="AF1175" s="55">
        <v>1190000</v>
      </c>
      <c r="AG1175" s="55">
        <v>0</v>
      </c>
      <c r="AH1175" s="55">
        <v>0</v>
      </c>
      <c r="AI1175" s="55">
        <v>0</v>
      </c>
      <c r="AJ1175" s="55">
        <v>11123982</v>
      </c>
      <c r="AK1175" s="55">
        <v>0</v>
      </c>
      <c r="AL1175" s="55">
        <v>44933</v>
      </c>
      <c r="AM1175" s="55">
        <v>941</v>
      </c>
      <c r="AN1175" s="55">
        <v>3419550</v>
      </c>
      <c r="AO1175" s="55">
        <v>2540700</v>
      </c>
      <c r="AQ1175" s="55">
        <v>37294292548800</v>
      </c>
      <c r="AR1175" s="55">
        <v>241812640000</v>
      </c>
      <c r="AS1175" s="55">
        <v>108489141000</v>
      </c>
      <c r="AT1175" s="55">
        <v>189844804999.97998</v>
      </c>
      <c r="AU1175" s="55">
        <f t="shared" si="804"/>
        <v>39049940</v>
      </c>
      <c r="AV1175" s="99">
        <f t="shared" si="805"/>
        <v>44262727559.718689</v>
      </c>
    </row>
    <row r="1176" spans="1:48">
      <c r="A1176" s="92">
        <v>45394</v>
      </c>
      <c r="B1176" s="55">
        <v>196580454000</v>
      </c>
      <c r="C1176" s="55">
        <v>0</v>
      </c>
      <c r="D1176" s="55">
        <v>0</v>
      </c>
      <c r="E1176" s="55">
        <v>0</v>
      </c>
      <c r="F1176" s="55">
        <v>196580454000</v>
      </c>
      <c r="G1176" s="55">
        <v>53076723</v>
      </c>
      <c r="H1176" s="55">
        <v>921868000</v>
      </c>
      <c r="I1176" s="55">
        <v>33165000000</v>
      </c>
      <c r="J1176" s="55">
        <v>34086868000</v>
      </c>
      <c r="L1176" s="55">
        <v>42084229000</v>
      </c>
      <c r="M1176" s="55">
        <v>0</v>
      </c>
      <c r="N1176" s="55">
        <v>42084229000</v>
      </c>
      <c r="O1176" s="55">
        <v>13637881000</v>
      </c>
      <c r="P1176" s="55">
        <v>0</v>
      </c>
      <c r="Q1176" s="55">
        <v>13637881000</v>
      </c>
      <c r="R1176" s="55">
        <v>1073663000</v>
      </c>
      <c r="S1176" s="55">
        <v>0</v>
      </c>
      <c r="T1176" s="55">
        <v>1073663000</v>
      </c>
      <c r="U1176" s="55">
        <v>181374000</v>
      </c>
      <c r="V1176" s="55">
        <v>0</v>
      </c>
      <c r="W1176" s="55">
        <v>181374000</v>
      </c>
      <c r="X1176" s="55">
        <v>341274000</v>
      </c>
      <c r="Y1176" s="55">
        <v>0</v>
      </c>
      <c r="Z1176" s="55">
        <v>341274000</v>
      </c>
      <c r="AA1176" s="55">
        <v>174534000</v>
      </c>
      <c r="AB1176" s="55">
        <v>0</v>
      </c>
      <c r="AC1176" s="55">
        <v>174534000</v>
      </c>
      <c r="AD1176" s="55">
        <v>2413000</v>
      </c>
      <c r="AE1176" s="55">
        <v>0</v>
      </c>
      <c r="AF1176" s="55">
        <v>2413000</v>
      </c>
      <c r="AG1176" s="55">
        <v>1388021000</v>
      </c>
      <c r="AH1176" s="55">
        <v>3801075000</v>
      </c>
      <c r="AI1176" s="55">
        <v>5189096000</v>
      </c>
      <c r="AJ1176" s="55">
        <v>13112861</v>
      </c>
      <c r="AK1176" s="55">
        <v>0</v>
      </c>
      <c r="AL1176" s="55">
        <v>44933</v>
      </c>
      <c r="AM1176" s="55">
        <v>2448</v>
      </c>
      <c r="AN1176" s="55">
        <v>21672450</v>
      </c>
      <c r="AO1176" s="55">
        <v>6609600</v>
      </c>
      <c r="AQ1176" s="55">
        <v>52604440360000</v>
      </c>
      <c r="AR1176" s="55">
        <v>294554746000</v>
      </c>
      <c r="AS1176" s="55">
        <v>135724912000</v>
      </c>
      <c r="AT1176" s="55">
        <v>332307779000</v>
      </c>
      <c r="AU1176" s="55">
        <f t="shared" ref="AU1176:AU1179" si="806">G1176+AJ1176+AK1176+AN1176+AO1176+AP1176</f>
        <v>94471634</v>
      </c>
      <c r="AV1176" s="99">
        <f t="shared" ref="AV1176:AV1179" si="807">AV1175+AU1176</f>
        <v>44357199193.718689</v>
      </c>
    </row>
    <row r="1177" spans="1:48">
      <c r="A1177" s="92">
        <v>45397</v>
      </c>
      <c r="B1177" s="55">
        <v>57701670000</v>
      </c>
      <c r="C1177" s="55">
        <v>17383495000</v>
      </c>
      <c r="D1177" s="55">
        <v>0</v>
      </c>
      <c r="E1177" s="55">
        <v>0</v>
      </c>
      <c r="F1177" s="55">
        <v>75085165000</v>
      </c>
      <c r="G1177" s="55">
        <v>20272995</v>
      </c>
      <c r="H1177" s="55">
        <v>3163638000</v>
      </c>
      <c r="I1177" s="55">
        <v>0</v>
      </c>
      <c r="J1177" s="55">
        <v>3163638000</v>
      </c>
      <c r="L1177" s="55">
        <v>15348456000</v>
      </c>
      <c r="M1177" s="55">
        <v>0</v>
      </c>
      <c r="N1177" s="55">
        <v>15348456000</v>
      </c>
      <c r="O1177" s="55">
        <v>6557721000</v>
      </c>
      <c r="P1177" s="55">
        <v>0</v>
      </c>
      <c r="Q1177" s="55">
        <v>6557721000</v>
      </c>
      <c r="R1177" s="55">
        <v>3107117000</v>
      </c>
      <c r="S1177" s="55">
        <v>0</v>
      </c>
      <c r="T1177" s="55">
        <v>3107117000</v>
      </c>
      <c r="U1177" s="55">
        <v>533605000</v>
      </c>
      <c r="V1177" s="55">
        <v>0</v>
      </c>
      <c r="W1177" s="55">
        <v>533605000</v>
      </c>
      <c r="X1177" s="55">
        <v>1945124000</v>
      </c>
      <c r="Y1177" s="55">
        <v>12135000000</v>
      </c>
      <c r="Z1177" s="55">
        <v>14080124000</v>
      </c>
      <c r="AA1177" s="55">
        <v>407093000</v>
      </c>
      <c r="AB1177" s="55">
        <v>0</v>
      </c>
      <c r="AC1177" s="55">
        <v>407093000</v>
      </c>
      <c r="AD1177" s="55">
        <v>3624000</v>
      </c>
      <c r="AE1177" s="55">
        <v>0</v>
      </c>
      <c r="AF1177" s="55">
        <v>3624000</v>
      </c>
      <c r="AG1177" s="55">
        <v>0</v>
      </c>
      <c r="AH1177" s="55">
        <v>0</v>
      </c>
      <c r="AI1177" s="55">
        <v>0</v>
      </c>
      <c r="AJ1177" s="55">
        <v>5539469</v>
      </c>
      <c r="AK1177" s="55">
        <v>0</v>
      </c>
      <c r="AL1177" s="55">
        <v>44933</v>
      </c>
      <c r="AM1177" s="55">
        <v>2827</v>
      </c>
      <c r="AN1177" s="55">
        <v>7440900</v>
      </c>
      <c r="AO1177" s="55">
        <v>7632900</v>
      </c>
      <c r="AQ1177" s="55">
        <v>75912570619400</v>
      </c>
      <c r="AR1177" s="55">
        <v>121879086000</v>
      </c>
      <c r="AS1177" s="55">
        <v>55846001000</v>
      </c>
      <c r="AT1177" s="55">
        <v>130934790000</v>
      </c>
      <c r="AU1177" s="55">
        <f t="shared" si="806"/>
        <v>40886264</v>
      </c>
      <c r="AV1177" s="99">
        <f t="shared" si="807"/>
        <v>44398085457.718689</v>
      </c>
    </row>
    <row r="1178" spans="1:48">
      <c r="A1178" s="92">
        <v>45398</v>
      </c>
      <c r="B1178" s="55">
        <v>197239724000</v>
      </c>
      <c r="C1178" s="55">
        <v>0</v>
      </c>
      <c r="D1178" s="55">
        <v>0</v>
      </c>
      <c r="E1178" s="55">
        <v>0</v>
      </c>
      <c r="F1178" s="55">
        <v>197239724000</v>
      </c>
      <c r="G1178" s="55">
        <v>53254725</v>
      </c>
      <c r="H1178" s="55">
        <v>17480084000</v>
      </c>
      <c r="I1178" s="55">
        <v>0</v>
      </c>
      <c r="J1178" s="55">
        <v>17480084000</v>
      </c>
      <c r="L1178" s="55">
        <v>65233401000</v>
      </c>
      <c r="M1178" s="55">
        <v>0</v>
      </c>
      <c r="N1178" s="55">
        <v>65233401000</v>
      </c>
      <c r="O1178" s="55">
        <v>12361133000</v>
      </c>
      <c r="P1178" s="55">
        <v>0</v>
      </c>
      <c r="Q1178" s="55">
        <v>12361133000</v>
      </c>
      <c r="R1178" s="55">
        <v>5774661000</v>
      </c>
      <c r="S1178" s="55">
        <v>0</v>
      </c>
      <c r="T1178" s="55">
        <v>5774661000</v>
      </c>
      <c r="U1178" s="55">
        <v>900992000</v>
      </c>
      <c r="V1178" s="55">
        <v>0</v>
      </c>
      <c r="W1178" s="55">
        <v>900992000</v>
      </c>
      <c r="X1178" s="55">
        <v>7263000</v>
      </c>
      <c r="Y1178" s="55">
        <v>72300000000</v>
      </c>
      <c r="Z1178" s="55">
        <v>72307263000</v>
      </c>
      <c r="AA1178" s="55">
        <v>2452805000</v>
      </c>
      <c r="AB1178" s="55">
        <v>0</v>
      </c>
      <c r="AC1178" s="55">
        <v>2452805000</v>
      </c>
      <c r="AD1178" s="55">
        <v>0</v>
      </c>
      <c r="AE1178" s="55">
        <v>0</v>
      </c>
      <c r="AF1178" s="55">
        <v>0</v>
      </c>
      <c r="AG1178" s="55">
        <v>0</v>
      </c>
      <c r="AH1178" s="55">
        <v>2345740000</v>
      </c>
      <c r="AI1178" s="55">
        <v>2345740000</v>
      </c>
      <c r="AJ1178" s="55">
        <v>24690950</v>
      </c>
      <c r="AK1178" s="55">
        <v>0</v>
      </c>
      <c r="AL1178" s="55">
        <v>44933</v>
      </c>
      <c r="AM1178" s="55">
        <v>5381</v>
      </c>
      <c r="AN1178" s="55">
        <v>11661150</v>
      </c>
      <c r="AO1178" s="55">
        <v>14528700</v>
      </c>
      <c r="AQ1178" s="55">
        <v>67213009107000</v>
      </c>
      <c r="AR1178" s="55">
        <v>579114784000</v>
      </c>
      <c r="AS1178" s="55">
        <v>253903398000</v>
      </c>
      <c r="AT1178" s="55">
        <v>451143122000</v>
      </c>
      <c r="AU1178" s="55">
        <f t="shared" si="806"/>
        <v>104135525</v>
      </c>
      <c r="AV1178" s="99">
        <f t="shared" si="807"/>
        <v>44502220982.718689</v>
      </c>
    </row>
    <row r="1179" spans="1:48">
      <c r="A1179" s="92">
        <v>45399</v>
      </c>
      <c r="B1179" s="55">
        <v>51164513000</v>
      </c>
      <c r="C1179" s="55">
        <v>19490825000</v>
      </c>
      <c r="D1179" s="55">
        <v>0</v>
      </c>
      <c r="E1179" s="55">
        <v>15467223056</v>
      </c>
      <c r="F1179" s="55">
        <v>86122561056</v>
      </c>
      <c r="G1179" s="55">
        <v>23253091</v>
      </c>
      <c r="H1179" s="55">
        <v>21501521000</v>
      </c>
      <c r="I1179" s="55">
        <v>23200400000</v>
      </c>
      <c r="J1179" s="55">
        <v>44701921000</v>
      </c>
      <c r="L1179" s="55">
        <v>60169074000</v>
      </c>
      <c r="M1179" s="55">
        <v>0</v>
      </c>
      <c r="N1179" s="55">
        <v>60169074000</v>
      </c>
      <c r="O1179" s="55">
        <v>2438655000</v>
      </c>
      <c r="P1179" s="55">
        <v>0</v>
      </c>
      <c r="Q1179" s="55">
        <v>2438655000</v>
      </c>
      <c r="R1179" s="55">
        <v>2142823000</v>
      </c>
      <c r="S1179" s="55">
        <v>0</v>
      </c>
      <c r="T1179" s="55">
        <v>2142823000</v>
      </c>
      <c r="U1179" s="55">
        <v>169977000</v>
      </c>
      <c r="V1179" s="55">
        <v>0</v>
      </c>
      <c r="W1179" s="55">
        <v>169977000</v>
      </c>
      <c r="X1179" s="55">
        <v>0</v>
      </c>
      <c r="Y1179" s="55">
        <v>0</v>
      </c>
      <c r="Z1179" s="55">
        <v>0</v>
      </c>
      <c r="AA1179" s="55">
        <v>4049154000</v>
      </c>
      <c r="AB1179" s="55">
        <v>0</v>
      </c>
      <c r="AC1179" s="55">
        <v>4049154000</v>
      </c>
      <c r="AD1179" s="55">
        <v>1169000</v>
      </c>
      <c r="AE1179" s="55">
        <v>0</v>
      </c>
      <c r="AF1179" s="55">
        <v>1169000</v>
      </c>
      <c r="AG1179" s="55">
        <v>0</v>
      </c>
      <c r="AH1179" s="55">
        <v>0</v>
      </c>
      <c r="AI1179" s="55">
        <v>0</v>
      </c>
      <c r="AJ1179" s="55">
        <v>13947088</v>
      </c>
      <c r="AK1179" s="55">
        <v>0</v>
      </c>
      <c r="AL1179" s="55">
        <v>44933</v>
      </c>
      <c r="AM1179" s="55">
        <v>1267</v>
      </c>
      <c r="AN1179" s="55">
        <v>11811600</v>
      </c>
      <c r="AO1179" s="55">
        <v>3420900</v>
      </c>
      <c r="AQ1179" s="55">
        <v>42619709390200</v>
      </c>
      <c r="AR1179" s="55">
        <v>962138448000</v>
      </c>
      <c r="AS1179" s="55">
        <v>136872004000</v>
      </c>
      <c r="AT1179" s="55">
        <v>222995734056</v>
      </c>
      <c r="AU1179" s="55">
        <f t="shared" si="806"/>
        <v>52432679</v>
      </c>
      <c r="AV1179" s="99">
        <f t="shared" si="807"/>
        <v>44554653661.718689</v>
      </c>
    </row>
    <row r="1180" spans="1:48">
      <c r="A1180" s="92">
        <v>45401</v>
      </c>
      <c r="B1180" s="55">
        <v>137273856000</v>
      </c>
      <c r="C1180" s="55">
        <v>0</v>
      </c>
      <c r="D1180" s="55">
        <v>0</v>
      </c>
      <c r="E1180" s="55">
        <v>15320310000</v>
      </c>
      <c r="F1180" s="55">
        <v>152594166000</v>
      </c>
      <c r="G1180" s="55">
        <v>41200425</v>
      </c>
      <c r="H1180" s="55">
        <v>6320475000</v>
      </c>
      <c r="I1180" s="55">
        <v>63248000000</v>
      </c>
      <c r="J1180" s="55">
        <v>69568475000</v>
      </c>
      <c r="L1180" s="55">
        <v>27899485000</v>
      </c>
      <c r="M1180" s="55">
        <v>23238500000</v>
      </c>
      <c r="N1180" s="55">
        <v>51137985000</v>
      </c>
      <c r="O1180" s="55">
        <v>9437497000</v>
      </c>
      <c r="P1180" s="55">
        <v>0</v>
      </c>
      <c r="Q1180" s="55">
        <v>9437497000</v>
      </c>
      <c r="R1180" s="55">
        <v>5504055000</v>
      </c>
      <c r="S1180" s="55">
        <v>0</v>
      </c>
      <c r="T1180" s="55">
        <v>5504055000</v>
      </c>
      <c r="U1180" s="55">
        <v>1474412000</v>
      </c>
      <c r="V1180" s="55">
        <v>0</v>
      </c>
      <c r="W1180" s="55">
        <v>1474412000</v>
      </c>
      <c r="X1180" s="55">
        <v>276408000</v>
      </c>
      <c r="Y1180" s="55">
        <v>48120000000</v>
      </c>
      <c r="Z1180" s="55">
        <v>48396408000</v>
      </c>
      <c r="AA1180" s="55">
        <v>1328990000</v>
      </c>
      <c r="AB1180" s="55">
        <v>0</v>
      </c>
      <c r="AC1180" s="55">
        <v>1328990000</v>
      </c>
      <c r="AD1180" s="55">
        <v>2262000</v>
      </c>
      <c r="AE1180" s="55">
        <v>0</v>
      </c>
      <c r="AF1180" s="55">
        <v>2262000</v>
      </c>
      <c r="AG1180" s="55">
        <v>0</v>
      </c>
      <c r="AH1180" s="55">
        <v>0</v>
      </c>
      <c r="AI1180" s="55">
        <v>0</v>
      </c>
      <c r="AJ1180" s="55">
        <v>29871477</v>
      </c>
      <c r="AK1180" s="55">
        <v>0</v>
      </c>
      <c r="AL1180" s="55">
        <v>44933</v>
      </c>
      <c r="AM1180" s="55">
        <v>2034</v>
      </c>
      <c r="AN1180" s="55">
        <v>40177800</v>
      </c>
      <c r="AO1180" s="55">
        <v>5491800</v>
      </c>
      <c r="AQ1180" s="55">
        <v>53832308332000</v>
      </c>
      <c r="AR1180" s="55">
        <v>437390458000</v>
      </c>
      <c r="AS1180" s="55">
        <v>321587496000</v>
      </c>
      <c r="AT1180" s="55">
        <v>480895199000</v>
      </c>
      <c r="AU1180" s="55">
        <f t="shared" ref="AU1180:AU1184" si="808">G1180+AJ1180+AK1180+AN1180+AO1180+AP1180</f>
        <v>116741502</v>
      </c>
      <c r="AV1180" s="99">
        <f t="shared" ref="AV1180:AV1184" si="809">AV1179+AU1180</f>
        <v>44671395163.718689</v>
      </c>
    </row>
    <row r="1181" spans="1:48">
      <c r="A1181" s="92">
        <v>45404</v>
      </c>
      <c r="B1181" s="55">
        <v>151407819000</v>
      </c>
      <c r="C1181" s="55">
        <v>14957995950</v>
      </c>
      <c r="D1181" s="55">
        <v>0</v>
      </c>
      <c r="E1181" s="55">
        <v>0</v>
      </c>
      <c r="F1181" s="55">
        <v>166365814950</v>
      </c>
      <c r="G1181" s="55">
        <v>44918770</v>
      </c>
      <c r="H1181" s="55">
        <v>2590273000</v>
      </c>
      <c r="I1181" s="55">
        <v>15886280000</v>
      </c>
      <c r="J1181" s="55">
        <v>18476553000</v>
      </c>
      <c r="L1181" s="55">
        <v>9683640000</v>
      </c>
      <c r="M1181" s="55">
        <v>14533100000</v>
      </c>
      <c r="N1181" s="55">
        <v>24216740000</v>
      </c>
      <c r="O1181" s="55">
        <v>9099961000</v>
      </c>
      <c r="P1181" s="55">
        <v>0</v>
      </c>
      <c r="Q1181" s="55">
        <v>9099961000</v>
      </c>
      <c r="R1181" s="55">
        <v>3210068000</v>
      </c>
      <c r="S1181" s="55">
        <v>0</v>
      </c>
      <c r="T1181" s="55">
        <v>3210068000</v>
      </c>
      <c r="U1181" s="55">
        <v>386148000</v>
      </c>
      <c r="V1181" s="55">
        <v>0</v>
      </c>
      <c r="W1181" s="55">
        <v>386148000</v>
      </c>
      <c r="X1181" s="55">
        <v>0</v>
      </c>
      <c r="Y1181" s="55">
        <v>0</v>
      </c>
      <c r="Z1181" s="55">
        <v>0</v>
      </c>
      <c r="AA1181" s="55">
        <v>307517000</v>
      </c>
      <c r="AB1181" s="55">
        <v>0</v>
      </c>
      <c r="AC1181" s="55">
        <v>307517000</v>
      </c>
      <c r="AD1181" s="55">
        <v>1150000</v>
      </c>
      <c r="AE1181" s="55">
        <v>0</v>
      </c>
      <c r="AF1181" s="55">
        <v>1150000</v>
      </c>
      <c r="AG1181" s="55">
        <v>0</v>
      </c>
      <c r="AH1181" s="55">
        <v>0</v>
      </c>
      <c r="AI1181" s="55">
        <v>0</v>
      </c>
      <c r="AJ1181" s="55">
        <v>8205594</v>
      </c>
      <c r="AK1181" s="55">
        <v>0</v>
      </c>
      <c r="AL1181" s="55">
        <v>44933</v>
      </c>
      <c r="AM1181" s="55">
        <v>1618</v>
      </c>
      <c r="AN1181" s="55">
        <v>10761000</v>
      </c>
      <c r="AO1181" s="55">
        <v>4368600</v>
      </c>
      <c r="AQ1181" s="55">
        <v>35665562126400</v>
      </c>
      <c r="AR1181" s="55">
        <v>923627198000</v>
      </c>
      <c r="AS1181" s="55">
        <v>313950</v>
      </c>
      <c r="AT1181" s="55">
        <v>166366128900</v>
      </c>
      <c r="AU1181" s="55">
        <f t="shared" si="808"/>
        <v>68253964</v>
      </c>
      <c r="AV1181" s="99">
        <f t="shared" si="809"/>
        <v>44739649127.718689</v>
      </c>
    </row>
    <row r="1182" spans="1:48">
      <c r="A1182" s="92">
        <v>45405</v>
      </c>
      <c r="B1182" s="55">
        <v>146591668000</v>
      </c>
      <c r="C1182" s="55">
        <v>31202898400</v>
      </c>
      <c r="D1182" s="55">
        <v>0</v>
      </c>
      <c r="E1182" s="55">
        <v>7775115000</v>
      </c>
      <c r="F1182" s="55">
        <v>185569681400</v>
      </c>
      <c r="G1182" s="55">
        <v>50103814</v>
      </c>
      <c r="H1182" s="55">
        <v>5629557000</v>
      </c>
      <c r="I1182" s="55">
        <v>6196700000</v>
      </c>
      <c r="J1182" s="55">
        <v>11826257000</v>
      </c>
      <c r="L1182" s="55">
        <v>35109869000</v>
      </c>
      <c r="M1182" s="55">
        <v>2908400000</v>
      </c>
      <c r="N1182" s="55">
        <v>38018269000</v>
      </c>
      <c r="O1182" s="55">
        <v>4094322000</v>
      </c>
      <c r="P1182" s="55">
        <v>0</v>
      </c>
      <c r="Q1182" s="55">
        <v>4094322000</v>
      </c>
      <c r="R1182" s="55">
        <v>1551640000</v>
      </c>
      <c r="S1182" s="55">
        <v>0</v>
      </c>
      <c r="T1182" s="55">
        <v>1551640000</v>
      </c>
      <c r="U1182" s="55">
        <v>491072000</v>
      </c>
      <c r="V1182" s="55">
        <v>0</v>
      </c>
      <c r="W1182" s="55">
        <v>491072000</v>
      </c>
      <c r="X1182" s="55">
        <v>803180000</v>
      </c>
      <c r="Y1182" s="55">
        <v>0</v>
      </c>
      <c r="Z1182" s="55">
        <v>803180000</v>
      </c>
      <c r="AA1182" s="55">
        <v>509148000</v>
      </c>
      <c r="AB1182" s="55">
        <v>0</v>
      </c>
      <c r="AC1182" s="55">
        <v>509148000</v>
      </c>
      <c r="AD1182" s="55">
        <v>2295000</v>
      </c>
      <c r="AE1182" s="55">
        <v>0</v>
      </c>
      <c r="AF1182" s="55">
        <v>2295000</v>
      </c>
      <c r="AG1182" s="55">
        <v>0</v>
      </c>
      <c r="AH1182" s="55">
        <v>0</v>
      </c>
      <c r="AI1182" s="55">
        <v>0</v>
      </c>
      <c r="AJ1182" s="55">
        <v>6843555</v>
      </c>
      <c r="AK1182" s="55">
        <v>0</v>
      </c>
      <c r="AL1182" s="55">
        <v>44933</v>
      </c>
      <c r="AM1182" s="55">
        <v>2257</v>
      </c>
      <c r="AN1182" s="55">
        <v>6816150</v>
      </c>
      <c r="AO1182" s="55">
        <v>6093900</v>
      </c>
      <c r="AQ1182" s="55">
        <v>38312633816000</v>
      </c>
      <c r="AR1182" s="55">
        <v>158479437260</v>
      </c>
      <c r="AS1182" s="55">
        <v>67185318000</v>
      </c>
      <c r="AT1182" s="55">
        <v>252757294400</v>
      </c>
      <c r="AU1182" s="55">
        <f t="shared" si="808"/>
        <v>69857419</v>
      </c>
      <c r="AV1182" s="99">
        <f t="shared" si="809"/>
        <v>44809506546.718689</v>
      </c>
    </row>
    <row r="1183" spans="1:48">
      <c r="A1183" s="92">
        <v>45406</v>
      </c>
      <c r="B1183" s="55">
        <v>101663993000</v>
      </c>
      <c r="C1183" s="55">
        <v>0</v>
      </c>
      <c r="D1183" s="55">
        <v>0</v>
      </c>
      <c r="E1183" s="55">
        <v>0</v>
      </c>
      <c r="F1183" s="55">
        <v>101663993000</v>
      </c>
      <c r="G1183" s="55">
        <v>27449278</v>
      </c>
      <c r="H1183" s="55">
        <v>1154203000</v>
      </c>
      <c r="I1183" s="55">
        <v>0</v>
      </c>
      <c r="J1183" s="55">
        <v>1154203000</v>
      </c>
      <c r="L1183" s="55">
        <v>25985046000</v>
      </c>
      <c r="M1183" s="55">
        <v>2968900000</v>
      </c>
      <c r="N1183" s="55">
        <v>28953946000</v>
      </c>
      <c r="O1183" s="55">
        <v>1368299000</v>
      </c>
      <c r="P1183" s="55">
        <v>0</v>
      </c>
      <c r="Q1183" s="55">
        <v>1368299000</v>
      </c>
      <c r="R1183" s="55">
        <v>676127000</v>
      </c>
      <c r="S1183" s="55">
        <v>0</v>
      </c>
      <c r="T1183" s="55">
        <v>676127000</v>
      </c>
      <c r="U1183" s="55">
        <v>210569000</v>
      </c>
      <c r="V1183" s="55">
        <v>0</v>
      </c>
      <c r="W1183" s="55">
        <v>210569000</v>
      </c>
      <c r="X1183" s="55">
        <v>300759000</v>
      </c>
      <c r="Y1183" s="55">
        <v>0</v>
      </c>
      <c r="Z1183" s="55">
        <v>300759000</v>
      </c>
      <c r="AA1183" s="55">
        <v>5873181000</v>
      </c>
      <c r="AB1183" s="55">
        <v>0</v>
      </c>
      <c r="AC1183" s="55">
        <v>5873181000</v>
      </c>
      <c r="AD1183" s="55">
        <v>1165000</v>
      </c>
      <c r="AE1183" s="55">
        <v>0</v>
      </c>
      <c r="AF1183" s="55">
        <v>1165000</v>
      </c>
      <c r="AG1183" s="55">
        <v>0</v>
      </c>
      <c r="AH1183" s="55">
        <v>0</v>
      </c>
      <c r="AI1183" s="55">
        <v>0</v>
      </c>
      <c r="AJ1183" s="55">
        <v>4375892</v>
      </c>
      <c r="AK1183" s="55">
        <v>0</v>
      </c>
      <c r="AL1183" s="55">
        <v>44933</v>
      </c>
      <c r="AM1183" s="55">
        <v>1176</v>
      </c>
      <c r="AN1183" s="55">
        <v>8784750</v>
      </c>
      <c r="AO1183" s="55">
        <v>3175200</v>
      </c>
      <c r="AQ1183" s="55">
        <v>43507630348000</v>
      </c>
      <c r="AR1183" s="55">
        <v>2144542699160</v>
      </c>
      <c r="AS1183" s="55">
        <v>50307825000</v>
      </c>
      <c r="AT1183" s="55">
        <v>151972983000</v>
      </c>
      <c r="AU1183" s="55">
        <f t="shared" si="808"/>
        <v>43785120</v>
      </c>
      <c r="AV1183" s="99">
        <f t="shared" si="809"/>
        <v>44853291666.718689</v>
      </c>
    </row>
    <row r="1184" spans="1:48">
      <c r="A1184" s="92">
        <v>45407</v>
      </c>
      <c r="B1184" s="55">
        <v>226194308001.88992</v>
      </c>
      <c r="C1184" s="55">
        <v>0</v>
      </c>
      <c r="D1184" s="55">
        <v>0</v>
      </c>
      <c r="E1184" s="55">
        <v>0</v>
      </c>
      <c r="F1184" s="55">
        <v>226194308001.88992</v>
      </c>
      <c r="G1184" s="55">
        <v>61072463</v>
      </c>
      <c r="H1184" s="55">
        <v>9816589000</v>
      </c>
      <c r="I1184" s="55">
        <v>51030000000</v>
      </c>
      <c r="J1184" s="55">
        <v>60846589000</v>
      </c>
      <c r="L1184" s="55">
        <v>33695510000</v>
      </c>
      <c r="M1184" s="55">
        <v>6019800000</v>
      </c>
      <c r="N1184" s="55">
        <v>39715310000</v>
      </c>
      <c r="O1184" s="55">
        <v>241669000</v>
      </c>
      <c r="P1184" s="55">
        <v>0</v>
      </c>
      <c r="Q1184" s="55">
        <v>241669000</v>
      </c>
      <c r="R1184" s="55">
        <v>425398000</v>
      </c>
      <c r="S1184" s="55">
        <v>0</v>
      </c>
      <c r="T1184" s="55">
        <v>425398000</v>
      </c>
      <c r="U1184" s="55">
        <v>179667000</v>
      </c>
      <c r="V1184" s="55">
        <v>0</v>
      </c>
      <c r="W1184" s="55">
        <v>179667000</v>
      </c>
      <c r="X1184" s="55">
        <v>163810000</v>
      </c>
      <c r="Y1184" s="55">
        <v>0</v>
      </c>
      <c r="Z1184" s="55">
        <v>163810000</v>
      </c>
      <c r="AA1184" s="55">
        <v>33529000</v>
      </c>
      <c r="AB1184" s="55">
        <v>0</v>
      </c>
      <c r="AC1184" s="55">
        <v>33529000</v>
      </c>
      <c r="AD1184" s="55">
        <v>3492000</v>
      </c>
      <c r="AE1184" s="55">
        <v>0</v>
      </c>
      <c r="AF1184" s="55">
        <v>3492000</v>
      </c>
      <c r="AG1184" s="55">
        <v>0</v>
      </c>
      <c r="AH1184" s="55">
        <v>0</v>
      </c>
      <c r="AI1184" s="55">
        <v>0</v>
      </c>
      <c r="AJ1184" s="55">
        <v>15081408</v>
      </c>
      <c r="AK1184" s="55">
        <v>0</v>
      </c>
      <c r="AL1184" s="55">
        <v>44933</v>
      </c>
      <c r="AM1184" s="55">
        <v>2220</v>
      </c>
      <c r="AN1184" s="55">
        <v>9748650</v>
      </c>
      <c r="AO1184" s="55">
        <v>5994000</v>
      </c>
      <c r="AQ1184" s="55">
        <v>31360516594000</v>
      </c>
      <c r="AR1184" s="55">
        <v>847301963000</v>
      </c>
      <c r="AS1184" s="55">
        <v>159016149000</v>
      </c>
      <c r="AT1184" s="55">
        <v>385213949001.88989</v>
      </c>
      <c r="AU1184" s="55">
        <f t="shared" si="808"/>
        <v>91896521</v>
      </c>
      <c r="AV1184" s="99">
        <f t="shared" si="809"/>
        <v>44945188187.718689</v>
      </c>
    </row>
    <row r="1185" spans="1:48">
      <c r="A1185" s="92">
        <v>45408</v>
      </c>
      <c r="B1185" s="55">
        <v>138846372000</v>
      </c>
      <c r="C1185" s="55">
        <v>39792830000</v>
      </c>
      <c r="D1185" s="55">
        <v>0</v>
      </c>
      <c r="E1185" s="55">
        <v>1340460000</v>
      </c>
      <c r="F1185" s="55">
        <v>179979662000</v>
      </c>
      <c r="G1185" s="55">
        <v>48594509</v>
      </c>
      <c r="H1185" s="55">
        <v>1837419000</v>
      </c>
      <c r="I1185" s="55">
        <v>27774000000</v>
      </c>
      <c r="J1185" s="55">
        <v>29611419000</v>
      </c>
      <c r="L1185" s="55">
        <v>38646173000</v>
      </c>
      <c r="M1185" s="55">
        <v>18251800000</v>
      </c>
      <c r="N1185" s="55">
        <v>56897973000</v>
      </c>
      <c r="O1185" s="55">
        <v>4125342000</v>
      </c>
      <c r="P1185" s="55">
        <v>0</v>
      </c>
      <c r="Q1185" s="55">
        <v>4125342000</v>
      </c>
      <c r="R1185" s="55">
        <v>473630000</v>
      </c>
      <c r="S1185" s="55">
        <v>0</v>
      </c>
      <c r="T1185" s="55">
        <v>473630000</v>
      </c>
      <c r="U1185" s="55">
        <v>453736000</v>
      </c>
      <c r="V1185" s="55">
        <v>0</v>
      </c>
      <c r="W1185" s="55">
        <v>453736000</v>
      </c>
      <c r="X1185" s="55">
        <v>209321000</v>
      </c>
      <c r="Y1185" s="55">
        <v>0</v>
      </c>
      <c r="Z1185" s="55">
        <v>209321000</v>
      </c>
      <c r="AA1185" s="55">
        <v>34739000</v>
      </c>
      <c r="AB1185" s="55">
        <v>0</v>
      </c>
      <c r="AC1185" s="55">
        <v>34739000</v>
      </c>
      <c r="AD1185" s="55">
        <v>3501000</v>
      </c>
      <c r="AE1185" s="55">
        <v>0</v>
      </c>
      <c r="AF1185" s="55">
        <v>3501000</v>
      </c>
      <c r="AG1185" s="55">
        <v>0</v>
      </c>
      <c r="AH1185" s="55">
        <v>0</v>
      </c>
      <c r="AI1185" s="55">
        <v>0</v>
      </c>
      <c r="AJ1185" s="55">
        <v>13229301</v>
      </c>
      <c r="AK1185" s="55">
        <v>0</v>
      </c>
      <c r="AL1185" s="55">
        <v>44933</v>
      </c>
      <c r="AM1185" s="55">
        <v>1615</v>
      </c>
      <c r="AN1185" s="55">
        <v>30217500</v>
      </c>
      <c r="AO1185" s="55">
        <v>4360500</v>
      </c>
      <c r="AP1185" s="55">
        <f>138930023+(24040253.1583252)</f>
        <v>162970276.1583252</v>
      </c>
      <c r="AQ1185" s="55">
        <v>34342610010800</v>
      </c>
      <c r="AR1185" s="55">
        <v>508072879500</v>
      </c>
      <c r="AS1185" s="55">
        <v>138166353000</v>
      </c>
      <c r="AT1185" s="55">
        <v>318149516000</v>
      </c>
      <c r="AU1185" s="55">
        <f>G1185+AJ1185+AK1185+AN1185+AO1185+AP1185</f>
        <v>259372086.1583252</v>
      </c>
      <c r="AV1185" s="99">
        <f t="shared" ref="AV1185" si="810">AV1184+AU1185</f>
        <v>45204560273.877014</v>
      </c>
    </row>
    <row r="1186" spans="1:48">
      <c r="A1186" s="92">
        <v>45414</v>
      </c>
      <c r="B1186" s="55">
        <v>56499917998.439987</v>
      </c>
      <c r="C1186" s="55">
        <v>0</v>
      </c>
      <c r="D1186" s="55">
        <v>0</v>
      </c>
      <c r="E1186" s="55">
        <v>0</v>
      </c>
      <c r="F1186" s="55">
        <v>56499917998.439987</v>
      </c>
      <c r="G1186" s="55">
        <v>15254978</v>
      </c>
      <c r="H1186" s="55">
        <v>8991357000</v>
      </c>
      <c r="I1186" s="55">
        <v>57794000000</v>
      </c>
      <c r="J1186" s="55">
        <v>66785357000</v>
      </c>
      <c r="L1186" s="55">
        <v>2558409000</v>
      </c>
      <c r="M1186" s="55">
        <v>0</v>
      </c>
      <c r="N1186" s="55">
        <v>2558409000</v>
      </c>
      <c r="O1186" s="55">
        <v>195643000</v>
      </c>
      <c r="P1186" s="55">
        <v>0</v>
      </c>
      <c r="Q1186" s="55">
        <v>195643000</v>
      </c>
      <c r="R1186" s="55">
        <v>1125733000</v>
      </c>
      <c r="S1186" s="55">
        <v>0</v>
      </c>
      <c r="T1186" s="55">
        <v>1125733000</v>
      </c>
      <c r="U1186" s="55">
        <v>197194000</v>
      </c>
      <c r="V1186" s="55">
        <v>0</v>
      </c>
      <c r="W1186" s="55">
        <v>197194000</v>
      </c>
      <c r="X1186" s="55">
        <v>818000</v>
      </c>
      <c r="Y1186" s="55">
        <v>0</v>
      </c>
      <c r="Z1186" s="55">
        <v>818000</v>
      </c>
      <c r="AA1186" s="55">
        <v>97949000</v>
      </c>
      <c r="AB1186" s="55">
        <v>0</v>
      </c>
      <c r="AC1186" s="55">
        <v>97949000</v>
      </c>
      <c r="AD1186" s="55">
        <v>1167000</v>
      </c>
      <c r="AE1186" s="55">
        <v>0</v>
      </c>
      <c r="AF1186" s="55">
        <v>1167000</v>
      </c>
      <c r="AG1186" s="55">
        <v>0</v>
      </c>
      <c r="AH1186" s="55">
        <v>0</v>
      </c>
      <c r="AI1186" s="55">
        <v>0</v>
      </c>
      <c r="AJ1186" s="55">
        <v>11825093</v>
      </c>
      <c r="AK1186" s="55">
        <v>0</v>
      </c>
      <c r="AL1186" s="55">
        <v>44933</v>
      </c>
      <c r="AM1186" s="55">
        <v>875</v>
      </c>
      <c r="AN1186" s="55">
        <v>11074650</v>
      </c>
      <c r="AO1186" s="55">
        <v>2362500</v>
      </c>
      <c r="AQ1186" s="55">
        <v>31555333292000</v>
      </c>
      <c r="AR1186" s="55">
        <v>463349304960</v>
      </c>
      <c r="AS1186" s="55">
        <v>129627067000</v>
      </c>
      <c r="AT1186" s="55">
        <v>186128151998.44</v>
      </c>
      <c r="AU1186" s="55">
        <f>G1186+AJ1186+AK1186+AN1186+AO1186+AP1186</f>
        <v>40517221</v>
      </c>
      <c r="AV1186" s="99">
        <f>AV1185+AU1186</f>
        <v>45245077494.877014</v>
      </c>
    </row>
    <row r="1187" spans="1:48">
      <c r="A1187" s="92">
        <v>45415</v>
      </c>
      <c r="B1187" s="55">
        <v>115257413000</v>
      </c>
      <c r="C1187" s="55">
        <v>0</v>
      </c>
      <c r="D1187" s="55">
        <v>0</v>
      </c>
      <c r="E1187" s="55">
        <v>0</v>
      </c>
      <c r="F1187" s="55">
        <v>115257413000</v>
      </c>
      <c r="G1187" s="55">
        <v>31119502</v>
      </c>
      <c r="H1187" s="55">
        <v>4877710000</v>
      </c>
      <c r="I1187" s="55">
        <v>8663600000</v>
      </c>
      <c r="J1187" s="55">
        <v>13541310000</v>
      </c>
      <c r="L1187" s="55">
        <v>14700988000</v>
      </c>
      <c r="M1187" s="55">
        <v>0</v>
      </c>
      <c r="N1187" s="55">
        <v>14700988000</v>
      </c>
      <c r="O1187" s="55">
        <v>14058000</v>
      </c>
      <c r="P1187" s="55">
        <v>1204800000</v>
      </c>
      <c r="Q1187" s="55">
        <v>1218858000</v>
      </c>
      <c r="R1187" s="55">
        <v>1009090000</v>
      </c>
      <c r="S1187" s="55">
        <v>0</v>
      </c>
      <c r="T1187" s="55">
        <v>1009090000</v>
      </c>
      <c r="U1187" s="55">
        <v>129200000</v>
      </c>
      <c r="V1187" s="55">
        <v>0</v>
      </c>
      <c r="W1187" s="55">
        <v>129200000</v>
      </c>
      <c r="X1187" s="55">
        <v>112885000</v>
      </c>
      <c r="Y1187" s="55">
        <v>0</v>
      </c>
      <c r="Z1187" s="55">
        <v>112885000</v>
      </c>
      <c r="AA1187" s="55">
        <v>28434000</v>
      </c>
      <c r="AB1187" s="55">
        <v>5784420000</v>
      </c>
      <c r="AC1187" s="55">
        <v>5812854000</v>
      </c>
      <c r="AD1187" s="55">
        <v>0</v>
      </c>
      <c r="AE1187" s="55">
        <v>0</v>
      </c>
      <c r="AF1187" s="55">
        <v>0</v>
      </c>
      <c r="AG1187" s="55">
        <v>0</v>
      </c>
      <c r="AH1187" s="55">
        <v>0</v>
      </c>
      <c r="AI1187" s="55">
        <v>0</v>
      </c>
      <c r="AJ1187" s="55">
        <v>5071723</v>
      </c>
      <c r="AK1187" s="55">
        <v>0</v>
      </c>
      <c r="AL1187" s="55">
        <v>44933</v>
      </c>
      <c r="AM1187" s="55">
        <v>1157</v>
      </c>
      <c r="AN1187" s="55">
        <v>30982500</v>
      </c>
      <c r="AO1187" s="55">
        <v>3123900</v>
      </c>
      <c r="AQ1187" s="55">
        <v>37570400234400</v>
      </c>
      <c r="AR1187" s="55">
        <v>492039070180</v>
      </c>
      <c r="AS1187" s="55">
        <v>53520907000</v>
      </c>
      <c r="AT1187" s="55">
        <v>168778320000</v>
      </c>
      <c r="AU1187" s="55">
        <f t="shared" ref="AU1187:AU1191" si="811">G1187+AJ1187+AK1187+AN1187+AO1187+AP1187</f>
        <v>70297625</v>
      </c>
      <c r="AV1187" s="99">
        <f t="shared" ref="AV1187:AV1191" si="812">AV1186+AU1187</f>
        <v>45315375119.877014</v>
      </c>
    </row>
    <row r="1188" spans="1:48">
      <c r="A1188" s="92">
        <v>45418</v>
      </c>
      <c r="B1188" s="55">
        <v>70485072000</v>
      </c>
      <c r="C1188" s="55">
        <v>0</v>
      </c>
      <c r="D1188" s="55">
        <v>0</v>
      </c>
      <c r="E1188" s="55">
        <v>0</v>
      </c>
      <c r="F1188" s="55">
        <v>70485072000</v>
      </c>
      <c r="G1188" s="55">
        <v>19030969</v>
      </c>
      <c r="H1188" s="55">
        <v>2654979000</v>
      </c>
      <c r="I1188" s="55">
        <v>0</v>
      </c>
      <c r="J1188" s="55">
        <v>2654979000</v>
      </c>
      <c r="L1188" s="55">
        <v>5801629000</v>
      </c>
      <c r="M1188" s="55">
        <v>0</v>
      </c>
      <c r="N1188" s="55">
        <v>5801629000</v>
      </c>
      <c r="O1188" s="55">
        <v>324631000</v>
      </c>
      <c r="P1188" s="55">
        <v>0</v>
      </c>
      <c r="Q1188" s="55">
        <v>324631000</v>
      </c>
      <c r="R1188" s="55">
        <v>1768418000</v>
      </c>
      <c r="S1188" s="55">
        <v>0</v>
      </c>
      <c r="T1188" s="55">
        <v>1768418000</v>
      </c>
      <c r="U1188" s="55">
        <v>120050000</v>
      </c>
      <c r="V1188" s="55">
        <v>0</v>
      </c>
      <c r="W1188" s="55">
        <v>120050000</v>
      </c>
      <c r="X1188" s="55">
        <v>148420000</v>
      </c>
      <c r="Y1188" s="55">
        <v>0</v>
      </c>
      <c r="Z1188" s="55">
        <v>148420000</v>
      </c>
      <c r="AA1188" s="55">
        <v>57207000</v>
      </c>
      <c r="AB1188" s="55">
        <v>229600000</v>
      </c>
      <c r="AC1188" s="55">
        <v>286807000</v>
      </c>
      <c r="AD1188" s="55">
        <v>3546000</v>
      </c>
      <c r="AE1188" s="55">
        <v>0</v>
      </c>
      <c r="AF1188" s="55">
        <v>3546000</v>
      </c>
      <c r="AG1188" s="55">
        <v>0</v>
      </c>
      <c r="AH1188" s="55">
        <v>0</v>
      </c>
      <c r="AI1188" s="55">
        <v>0</v>
      </c>
      <c r="AJ1188" s="55">
        <v>1216247</v>
      </c>
      <c r="AK1188" s="55">
        <v>0</v>
      </c>
      <c r="AL1188" s="55">
        <v>44933</v>
      </c>
      <c r="AM1188" s="55">
        <v>674</v>
      </c>
      <c r="AN1188" s="55">
        <v>11194500</v>
      </c>
      <c r="AO1188" s="55">
        <v>1819800</v>
      </c>
      <c r="AQ1188" s="55">
        <v>47240362999000</v>
      </c>
      <c r="AR1188" s="55">
        <v>318175725600</v>
      </c>
      <c r="AS1188" s="55">
        <v>11855121000</v>
      </c>
      <c r="AT1188" s="55">
        <v>82343739000</v>
      </c>
      <c r="AU1188" s="55">
        <f t="shared" si="811"/>
        <v>33261516</v>
      </c>
      <c r="AV1188" s="99">
        <f t="shared" si="812"/>
        <v>45348636635.877014</v>
      </c>
    </row>
    <row r="1189" spans="1:48">
      <c r="A1189" s="92">
        <v>45419</v>
      </c>
      <c r="B1189" s="55">
        <v>86929392000</v>
      </c>
      <c r="C1189" s="55">
        <v>0</v>
      </c>
      <c r="D1189" s="55">
        <v>0</v>
      </c>
      <c r="E1189" s="55">
        <v>0</v>
      </c>
      <c r="F1189" s="55">
        <v>86929392000</v>
      </c>
      <c r="G1189" s="55">
        <v>23470936</v>
      </c>
      <c r="H1189" s="55">
        <v>147697000</v>
      </c>
      <c r="I1189" s="55">
        <v>6598100000</v>
      </c>
      <c r="J1189" s="55">
        <v>6745797000</v>
      </c>
      <c r="L1189" s="55">
        <v>24269327000</v>
      </c>
      <c r="M1189" s="55">
        <v>6268000000</v>
      </c>
      <c r="N1189" s="55">
        <v>30537327000</v>
      </c>
      <c r="O1189" s="55">
        <v>1863854000</v>
      </c>
      <c r="P1189" s="55">
        <v>0</v>
      </c>
      <c r="Q1189" s="55">
        <v>1863854000</v>
      </c>
      <c r="R1189" s="55">
        <v>825464000</v>
      </c>
      <c r="S1189" s="55">
        <v>0</v>
      </c>
      <c r="T1189" s="55">
        <v>825464000</v>
      </c>
      <c r="U1189" s="55">
        <v>148322000</v>
      </c>
      <c r="V1189" s="55">
        <v>0</v>
      </c>
      <c r="W1189" s="55">
        <v>148322000</v>
      </c>
      <c r="X1189" s="55">
        <v>167624000</v>
      </c>
      <c r="Y1189" s="55">
        <v>0</v>
      </c>
      <c r="Z1189" s="55">
        <v>167624000</v>
      </c>
      <c r="AA1189" s="55">
        <v>209936000</v>
      </c>
      <c r="AB1189" s="55">
        <v>230900000</v>
      </c>
      <c r="AC1189" s="55">
        <v>440836000</v>
      </c>
      <c r="AD1189" s="55">
        <v>0</v>
      </c>
      <c r="AE1189" s="55">
        <v>0</v>
      </c>
      <c r="AF1189" s="55">
        <v>0</v>
      </c>
      <c r="AG1189" s="55">
        <v>0</v>
      </c>
      <c r="AH1189" s="55">
        <v>2242300000</v>
      </c>
      <c r="AI1189" s="55">
        <v>2242300000</v>
      </c>
      <c r="AJ1189" s="55">
        <v>5745354</v>
      </c>
      <c r="AK1189" s="55">
        <v>0</v>
      </c>
      <c r="AL1189" s="55">
        <v>44933</v>
      </c>
      <c r="AM1189" s="55">
        <v>689</v>
      </c>
      <c r="AN1189" s="55">
        <v>10146450</v>
      </c>
      <c r="AO1189" s="55">
        <v>1860300</v>
      </c>
      <c r="AQ1189" s="55">
        <v>41045568873000</v>
      </c>
      <c r="AR1189" s="55">
        <v>414958314960</v>
      </c>
      <c r="AS1189" s="55">
        <v>58771435000</v>
      </c>
      <c r="AT1189" s="55">
        <v>145700827000</v>
      </c>
      <c r="AU1189" s="55">
        <f t="shared" si="811"/>
        <v>41223040</v>
      </c>
      <c r="AV1189" s="99">
        <f t="shared" si="812"/>
        <v>45389859675.877014</v>
      </c>
    </row>
    <row r="1190" spans="1:48">
      <c r="A1190" s="92">
        <v>45420</v>
      </c>
      <c r="B1190" s="55">
        <v>69603101000</v>
      </c>
      <c r="C1190" s="55">
        <v>0</v>
      </c>
      <c r="D1190" s="55">
        <v>0</v>
      </c>
      <c r="E1190" s="55">
        <v>0</v>
      </c>
      <c r="F1190" s="55">
        <v>69603101000</v>
      </c>
      <c r="G1190" s="55">
        <v>18792837</v>
      </c>
      <c r="H1190" s="55">
        <v>27343115000</v>
      </c>
      <c r="I1190" s="55">
        <v>70165600000</v>
      </c>
      <c r="J1190" s="55">
        <v>97508715000</v>
      </c>
      <c r="L1190" s="55">
        <v>15496021000</v>
      </c>
      <c r="M1190" s="55">
        <v>0</v>
      </c>
      <c r="N1190" s="55">
        <v>15496021000</v>
      </c>
      <c r="O1190" s="55">
        <v>16529102000</v>
      </c>
      <c r="P1190" s="55">
        <v>0</v>
      </c>
      <c r="Q1190" s="55">
        <v>16529102000</v>
      </c>
      <c r="R1190" s="55">
        <v>1400411000</v>
      </c>
      <c r="S1190" s="55">
        <v>0</v>
      </c>
      <c r="T1190" s="55">
        <v>1400411000</v>
      </c>
      <c r="U1190" s="55">
        <v>50068000</v>
      </c>
      <c r="V1190" s="55">
        <v>0</v>
      </c>
      <c r="W1190" s="55">
        <v>50068000</v>
      </c>
      <c r="X1190" s="55">
        <v>349432000</v>
      </c>
      <c r="Y1190" s="55">
        <v>49004200000</v>
      </c>
      <c r="Z1190" s="55">
        <v>49353632000</v>
      </c>
      <c r="AA1190" s="55">
        <v>41347000</v>
      </c>
      <c r="AB1190" s="55">
        <v>0</v>
      </c>
      <c r="AC1190" s="55">
        <v>41347000</v>
      </c>
      <c r="AD1190" s="55">
        <v>0</v>
      </c>
      <c r="AE1190" s="55">
        <v>0</v>
      </c>
      <c r="AF1190" s="55">
        <v>0</v>
      </c>
      <c r="AG1190" s="55">
        <v>0</v>
      </c>
      <c r="AH1190" s="55">
        <v>0</v>
      </c>
      <c r="AI1190" s="55">
        <v>0</v>
      </c>
      <c r="AJ1190" s="55">
        <v>28061190</v>
      </c>
      <c r="AK1190" s="55">
        <v>0</v>
      </c>
      <c r="AL1190" s="55">
        <v>44933</v>
      </c>
      <c r="AM1190" s="55">
        <v>1291</v>
      </c>
      <c r="AN1190" s="55">
        <v>9588000</v>
      </c>
      <c r="AO1190" s="55">
        <v>3485700</v>
      </c>
      <c r="AQ1190" s="55">
        <v>53082869731000</v>
      </c>
      <c r="AR1190" s="55">
        <v>450562843760</v>
      </c>
      <c r="AS1190" s="55">
        <v>299658417000</v>
      </c>
      <c r="AT1190" s="55">
        <v>369261518000</v>
      </c>
      <c r="AU1190" s="55">
        <f t="shared" si="811"/>
        <v>59927727</v>
      </c>
      <c r="AV1190" s="99">
        <f t="shared" si="812"/>
        <v>45449787402.877014</v>
      </c>
    </row>
    <row r="1191" spans="1:48">
      <c r="A1191" s="92">
        <v>45421</v>
      </c>
      <c r="B1191" s="55">
        <v>65585211000.159988</v>
      </c>
      <c r="C1191" s="55">
        <v>0</v>
      </c>
      <c r="D1191" s="55">
        <v>0</v>
      </c>
      <c r="E1191" s="55">
        <v>0</v>
      </c>
      <c r="F1191" s="55">
        <v>65585211000.159988</v>
      </c>
      <c r="G1191" s="55">
        <v>17708007</v>
      </c>
      <c r="H1191" s="55">
        <v>1150955000</v>
      </c>
      <c r="I1191" s="55">
        <v>0</v>
      </c>
      <c r="J1191" s="55">
        <v>1150955000</v>
      </c>
      <c r="L1191" s="55">
        <v>22120886000</v>
      </c>
      <c r="M1191" s="55">
        <v>0</v>
      </c>
      <c r="N1191" s="55">
        <v>22120886000</v>
      </c>
      <c r="O1191" s="55">
        <v>646434000</v>
      </c>
      <c r="P1191" s="55">
        <v>0</v>
      </c>
      <c r="Q1191" s="55">
        <v>646434000</v>
      </c>
      <c r="R1191" s="55">
        <v>859889000</v>
      </c>
      <c r="S1191" s="55">
        <v>0</v>
      </c>
      <c r="T1191" s="55">
        <v>859889000</v>
      </c>
      <c r="U1191" s="55">
        <v>168325000</v>
      </c>
      <c r="V1191" s="55">
        <v>0</v>
      </c>
      <c r="W1191" s="55">
        <v>168325000</v>
      </c>
      <c r="X1191" s="55">
        <v>3379000</v>
      </c>
      <c r="Y1191" s="55">
        <v>0</v>
      </c>
      <c r="Z1191" s="55">
        <v>3379000</v>
      </c>
      <c r="AA1191" s="55">
        <v>61479000</v>
      </c>
      <c r="AB1191" s="55">
        <v>0</v>
      </c>
      <c r="AC1191" s="55">
        <v>61479000</v>
      </c>
      <c r="AD1191" s="55">
        <v>1180000</v>
      </c>
      <c r="AE1191" s="55">
        <v>0</v>
      </c>
      <c r="AF1191" s="55">
        <v>1180000</v>
      </c>
      <c r="AG1191" s="55">
        <v>0</v>
      </c>
      <c r="AH1191" s="55">
        <v>0</v>
      </c>
      <c r="AI1191" s="55">
        <v>0</v>
      </c>
      <c r="AJ1191" s="55">
        <v>2701353</v>
      </c>
      <c r="AK1191" s="55">
        <v>0</v>
      </c>
      <c r="AL1191" s="55">
        <v>44933</v>
      </c>
      <c r="AM1191" s="55">
        <v>847</v>
      </c>
      <c r="AN1191" s="55">
        <v>10003650</v>
      </c>
      <c r="AO1191" s="55">
        <v>2286900</v>
      </c>
      <c r="AQ1191" s="55">
        <v>44818916673000</v>
      </c>
      <c r="AR1191" s="55">
        <v>62682361440</v>
      </c>
      <c r="AS1191" s="55">
        <v>25187795000</v>
      </c>
      <c r="AT1191" s="55">
        <v>90774186000.159988</v>
      </c>
      <c r="AU1191" s="55">
        <f t="shared" si="811"/>
        <v>32699910</v>
      </c>
      <c r="AV1191" s="99">
        <f t="shared" si="812"/>
        <v>45482487312.877014</v>
      </c>
    </row>
    <row r="1192" spans="1:48">
      <c r="A1192" s="92">
        <v>45422</v>
      </c>
      <c r="B1192" s="55">
        <v>145266473000</v>
      </c>
      <c r="C1192" s="55">
        <v>21293445650</v>
      </c>
      <c r="D1192" s="55">
        <v>0</v>
      </c>
      <c r="E1192" s="55">
        <v>0</v>
      </c>
      <c r="F1192" s="55">
        <v>166559918650</v>
      </c>
      <c r="G1192" s="55">
        <v>44971178</v>
      </c>
      <c r="H1192" s="55">
        <v>193681000</v>
      </c>
      <c r="I1192" s="55">
        <v>41649100000</v>
      </c>
      <c r="J1192" s="55">
        <v>41842781000</v>
      </c>
      <c r="L1192" s="55">
        <v>20800462000</v>
      </c>
      <c r="M1192" s="55">
        <v>0</v>
      </c>
      <c r="N1192" s="55">
        <v>20800462000</v>
      </c>
      <c r="O1192" s="55">
        <v>94658000</v>
      </c>
      <c r="P1192" s="55">
        <v>0</v>
      </c>
      <c r="Q1192" s="55">
        <v>94658000</v>
      </c>
      <c r="R1192" s="55">
        <v>695773000</v>
      </c>
      <c r="S1192" s="55">
        <v>0</v>
      </c>
      <c r="T1192" s="55">
        <v>695773000</v>
      </c>
      <c r="U1192" s="55">
        <v>172129000</v>
      </c>
      <c r="V1192" s="55">
        <v>0</v>
      </c>
      <c r="W1192" s="55">
        <v>172129000</v>
      </c>
      <c r="X1192" s="55">
        <v>78218000</v>
      </c>
      <c r="Y1192" s="55">
        <v>0</v>
      </c>
      <c r="Z1192" s="55">
        <v>78218000</v>
      </c>
      <c r="AA1192" s="55">
        <v>471445000</v>
      </c>
      <c r="AB1192" s="55">
        <v>0</v>
      </c>
      <c r="AC1192" s="55">
        <v>471445000</v>
      </c>
      <c r="AD1192" s="55">
        <v>0</v>
      </c>
      <c r="AE1192" s="55">
        <v>0</v>
      </c>
      <c r="AF1192" s="55">
        <v>0</v>
      </c>
      <c r="AG1192" s="55">
        <v>0</v>
      </c>
      <c r="AH1192" s="55">
        <v>0</v>
      </c>
      <c r="AI1192" s="55">
        <v>0</v>
      </c>
      <c r="AJ1192" s="55">
        <v>9927526</v>
      </c>
      <c r="AK1192" s="55">
        <v>0</v>
      </c>
      <c r="AL1192" s="55">
        <v>44933</v>
      </c>
      <c r="AM1192" s="55">
        <v>1735</v>
      </c>
      <c r="AN1192" s="55">
        <v>30645900</v>
      </c>
      <c r="AO1192" s="55">
        <v>4684500</v>
      </c>
      <c r="AQ1192" s="55">
        <v>37693478207800</v>
      </c>
      <c r="AR1192" s="55">
        <v>146205230680</v>
      </c>
      <c r="AS1192" s="55">
        <v>105864019000</v>
      </c>
      <c r="AT1192" s="55">
        <v>272423937650</v>
      </c>
      <c r="AU1192" s="55">
        <f t="shared" ref="AU1192:AU1196" si="813">G1192+AJ1192+AK1192+AN1192+AO1192+AP1192</f>
        <v>90229104</v>
      </c>
      <c r="AV1192" s="99">
        <f t="shared" ref="AV1192:AV1196" si="814">AV1191+AU1192</f>
        <v>45572716416.877014</v>
      </c>
    </row>
    <row r="1193" spans="1:48">
      <c r="A1193" s="92">
        <v>45425</v>
      </c>
      <c r="B1193" s="55">
        <v>226847705000</v>
      </c>
      <c r="C1193" s="55">
        <v>26613327200</v>
      </c>
      <c r="D1193" s="55">
        <v>0</v>
      </c>
      <c r="E1193" s="55">
        <v>0</v>
      </c>
      <c r="F1193" s="55">
        <v>253461032200</v>
      </c>
      <c r="G1193" s="55">
        <v>68434479</v>
      </c>
      <c r="H1193" s="55">
        <v>355266000</v>
      </c>
      <c r="I1193" s="55">
        <v>0</v>
      </c>
      <c r="J1193" s="55">
        <v>355266000</v>
      </c>
      <c r="L1193" s="55">
        <v>2977720000</v>
      </c>
      <c r="M1193" s="55">
        <v>0</v>
      </c>
      <c r="N1193" s="55">
        <v>2977720000</v>
      </c>
      <c r="O1193" s="55">
        <v>8406239000</v>
      </c>
      <c r="P1193" s="55">
        <v>0</v>
      </c>
      <c r="Q1193" s="55">
        <v>8406239000</v>
      </c>
      <c r="R1193" s="55">
        <v>3298500000</v>
      </c>
      <c r="S1193" s="55">
        <v>0</v>
      </c>
      <c r="T1193" s="55">
        <v>3298500000</v>
      </c>
      <c r="U1193" s="55">
        <v>31238000</v>
      </c>
      <c r="V1193" s="55">
        <v>0</v>
      </c>
      <c r="W1193" s="55">
        <v>31238000</v>
      </c>
      <c r="X1193" s="55">
        <v>135079000</v>
      </c>
      <c r="Y1193" s="55">
        <v>92488000000</v>
      </c>
      <c r="Z1193" s="55">
        <v>92623079000</v>
      </c>
      <c r="AA1193" s="55">
        <v>325519000</v>
      </c>
      <c r="AB1193" s="55">
        <v>0</v>
      </c>
      <c r="AC1193" s="55">
        <v>325519000</v>
      </c>
      <c r="AD1193" s="55">
        <v>2351000</v>
      </c>
      <c r="AE1193" s="55">
        <v>0</v>
      </c>
      <c r="AF1193" s="55">
        <v>2351000</v>
      </c>
      <c r="AG1193" s="55">
        <v>0</v>
      </c>
      <c r="AH1193" s="55">
        <v>0</v>
      </c>
      <c r="AI1193" s="55">
        <v>0</v>
      </c>
      <c r="AJ1193" s="55">
        <v>18325286</v>
      </c>
      <c r="AK1193" s="55">
        <v>0</v>
      </c>
      <c r="AL1193" s="55">
        <v>44933</v>
      </c>
      <c r="AM1193" s="55">
        <v>3007</v>
      </c>
      <c r="AN1193" s="55">
        <v>8499150</v>
      </c>
      <c r="AO1193" s="55">
        <v>8118900</v>
      </c>
      <c r="AQ1193" s="55">
        <v>38972576497000</v>
      </c>
      <c r="AR1193" s="55">
        <v>252207068040</v>
      </c>
      <c r="AS1193" s="55">
        <v>200632830000</v>
      </c>
      <c r="AT1193" s="55">
        <v>454096213200</v>
      </c>
      <c r="AU1193" s="55">
        <f t="shared" si="813"/>
        <v>103377815</v>
      </c>
      <c r="AV1193" s="99">
        <f t="shared" si="814"/>
        <v>45676094231.877014</v>
      </c>
    </row>
    <row r="1194" spans="1:48">
      <c r="A1194" s="92">
        <v>45426</v>
      </c>
      <c r="B1194" s="55">
        <v>86219106000</v>
      </c>
      <c r="C1194" s="55">
        <v>0</v>
      </c>
      <c r="D1194" s="55">
        <v>0</v>
      </c>
      <c r="E1194" s="55">
        <v>0</v>
      </c>
      <c r="F1194" s="55">
        <v>86219106000</v>
      </c>
      <c r="G1194" s="55">
        <v>23279159</v>
      </c>
      <c r="H1194" s="55">
        <v>4630702000</v>
      </c>
      <c r="I1194" s="55">
        <v>4413800000</v>
      </c>
      <c r="J1194" s="55">
        <v>9044502000</v>
      </c>
      <c r="L1194" s="55">
        <v>9433395000</v>
      </c>
      <c r="M1194" s="55">
        <v>0</v>
      </c>
      <c r="N1194" s="55">
        <v>9433395000</v>
      </c>
      <c r="O1194" s="55">
        <v>219559000</v>
      </c>
      <c r="P1194" s="55">
        <v>0</v>
      </c>
      <c r="Q1194" s="55">
        <v>219559000</v>
      </c>
      <c r="R1194" s="55">
        <v>730799000</v>
      </c>
      <c r="S1194" s="55">
        <v>0</v>
      </c>
      <c r="T1194" s="55">
        <v>730799000</v>
      </c>
      <c r="U1194" s="55">
        <v>228494000</v>
      </c>
      <c r="V1194" s="55">
        <v>0</v>
      </c>
      <c r="W1194" s="55">
        <v>228494000</v>
      </c>
      <c r="X1194" s="55">
        <v>845000</v>
      </c>
      <c r="Y1194" s="55">
        <v>0</v>
      </c>
      <c r="Z1194" s="55">
        <v>845000</v>
      </c>
      <c r="AA1194" s="55">
        <v>6960000</v>
      </c>
      <c r="AB1194" s="55">
        <v>0</v>
      </c>
      <c r="AC1194" s="55">
        <v>6960000</v>
      </c>
      <c r="AD1194" s="55">
        <v>1183000</v>
      </c>
      <c r="AE1194" s="55">
        <v>0</v>
      </c>
      <c r="AF1194" s="55">
        <v>1183000</v>
      </c>
      <c r="AG1194" s="55">
        <v>0</v>
      </c>
      <c r="AH1194" s="55">
        <v>0</v>
      </c>
      <c r="AI1194" s="55">
        <v>0</v>
      </c>
      <c r="AJ1194" s="55">
        <v>2441693</v>
      </c>
      <c r="AK1194" s="55">
        <v>0</v>
      </c>
      <c r="AL1194" s="55">
        <v>44933</v>
      </c>
      <c r="AM1194" s="55">
        <v>2258</v>
      </c>
      <c r="AN1194" s="55">
        <v>9146850</v>
      </c>
      <c r="AO1194" s="55">
        <v>6096600</v>
      </c>
      <c r="AQ1194" s="55">
        <v>35491482106200</v>
      </c>
      <c r="AR1194" s="55">
        <v>50588914680</v>
      </c>
      <c r="AS1194" s="55">
        <v>24225958000</v>
      </c>
      <c r="AT1194" s="55">
        <v>110446247000</v>
      </c>
      <c r="AU1194" s="55">
        <f t="shared" si="813"/>
        <v>40964302</v>
      </c>
      <c r="AV1194" s="99">
        <f t="shared" si="814"/>
        <v>45717058533.877014</v>
      </c>
    </row>
    <row r="1195" spans="1:48">
      <c r="A1195" s="92">
        <v>45427</v>
      </c>
      <c r="B1195" s="55">
        <v>50036374000</v>
      </c>
      <c r="C1195" s="55">
        <v>0</v>
      </c>
      <c r="D1195" s="55">
        <v>0</v>
      </c>
      <c r="E1195" s="55">
        <v>0</v>
      </c>
      <c r="F1195" s="55">
        <v>50036374000</v>
      </c>
      <c r="G1195" s="55">
        <v>13509821</v>
      </c>
      <c r="H1195" s="55">
        <v>3306370000</v>
      </c>
      <c r="I1195" s="55">
        <v>0</v>
      </c>
      <c r="J1195" s="55">
        <v>3306370000</v>
      </c>
      <c r="L1195" s="55">
        <v>3586115000</v>
      </c>
      <c r="M1195" s="55">
        <v>0</v>
      </c>
      <c r="N1195" s="55">
        <v>3586115000</v>
      </c>
      <c r="O1195" s="55">
        <v>176494000</v>
      </c>
      <c r="P1195" s="55">
        <v>0</v>
      </c>
      <c r="Q1195" s="55">
        <v>176494000</v>
      </c>
      <c r="R1195" s="55">
        <v>1772941000</v>
      </c>
      <c r="S1195" s="55">
        <v>0</v>
      </c>
      <c r="T1195" s="55">
        <v>1772941000</v>
      </c>
      <c r="U1195" s="55">
        <v>423546000</v>
      </c>
      <c r="V1195" s="55">
        <v>0</v>
      </c>
      <c r="W1195" s="55">
        <v>423546000</v>
      </c>
      <c r="X1195" s="55">
        <v>250120000</v>
      </c>
      <c r="Y1195" s="55">
        <v>0</v>
      </c>
      <c r="Z1195" s="55">
        <v>250120000</v>
      </c>
      <c r="AA1195" s="55">
        <v>78477000</v>
      </c>
      <c r="AB1195" s="55">
        <v>0</v>
      </c>
      <c r="AC1195" s="55">
        <v>78477000</v>
      </c>
      <c r="AD1195" s="55">
        <v>1192000</v>
      </c>
      <c r="AE1195" s="55">
        <v>0</v>
      </c>
      <c r="AF1195" s="55">
        <v>1192000</v>
      </c>
      <c r="AG1195" s="55">
        <v>2658000</v>
      </c>
      <c r="AH1195" s="55">
        <v>0</v>
      </c>
      <c r="AI1195" s="55">
        <v>2658000</v>
      </c>
      <c r="AJ1195" s="55">
        <v>1036575</v>
      </c>
      <c r="AK1195" s="55">
        <v>0</v>
      </c>
      <c r="AL1195" s="55">
        <v>44933</v>
      </c>
      <c r="AM1195" s="55">
        <v>505</v>
      </c>
      <c r="AN1195" s="55">
        <v>10041900</v>
      </c>
      <c r="AO1195" s="55">
        <v>1363500</v>
      </c>
      <c r="AQ1195" s="55">
        <v>50175852393600</v>
      </c>
      <c r="AR1195" s="55">
        <v>114620260700</v>
      </c>
      <c r="AS1195" s="55">
        <v>16237394000</v>
      </c>
      <c r="AT1195" s="55">
        <v>66274960000</v>
      </c>
      <c r="AU1195" s="55">
        <f t="shared" si="813"/>
        <v>25951796</v>
      </c>
      <c r="AV1195" s="99">
        <f t="shared" si="814"/>
        <v>45743010329.877014</v>
      </c>
    </row>
    <row r="1196" spans="1:48">
      <c r="A1196" s="92">
        <v>45428</v>
      </c>
      <c r="B1196" s="55">
        <v>165475368999.71002</v>
      </c>
      <c r="C1196" s="55">
        <v>0</v>
      </c>
      <c r="D1196" s="55">
        <v>0</v>
      </c>
      <c r="E1196" s="55">
        <v>0</v>
      </c>
      <c r="F1196" s="55">
        <v>165475368999.71002</v>
      </c>
      <c r="G1196" s="55">
        <v>44678350</v>
      </c>
      <c r="H1196" s="55">
        <v>15249348000</v>
      </c>
      <c r="I1196" s="55">
        <v>2249200000</v>
      </c>
      <c r="J1196" s="55">
        <v>17498548000</v>
      </c>
      <c r="L1196" s="55">
        <v>5942674000</v>
      </c>
      <c r="M1196" s="55">
        <v>0</v>
      </c>
      <c r="N1196" s="55">
        <v>5942674000</v>
      </c>
      <c r="O1196" s="55">
        <v>2157598000</v>
      </c>
      <c r="P1196" s="55">
        <v>0</v>
      </c>
      <c r="Q1196" s="55">
        <v>2157598000</v>
      </c>
      <c r="R1196" s="55">
        <v>2257734000</v>
      </c>
      <c r="S1196" s="55">
        <v>0</v>
      </c>
      <c r="T1196" s="55">
        <v>2257734000</v>
      </c>
      <c r="U1196" s="55">
        <v>731783000</v>
      </c>
      <c r="V1196" s="55">
        <v>0</v>
      </c>
      <c r="W1196" s="55">
        <v>731783000</v>
      </c>
      <c r="X1196" s="55">
        <v>487941000</v>
      </c>
      <c r="Y1196" s="55">
        <v>31076300000</v>
      </c>
      <c r="Z1196" s="55">
        <v>31564241000</v>
      </c>
      <c r="AA1196" s="55">
        <v>243576000</v>
      </c>
      <c r="AB1196" s="55">
        <v>1541800000</v>
      </c>
      <c r="AC1196" s="55">
        <v>1785376000</v>
      </c>
      <c r="AD1196" s="55">
        <v>3637000</v>
      </c>
      <c r="AE1196" s="55">
        <v>0</v>
      </c>
      <c r="AF1196" s="55">
        <v>3637000</v>
      </c>
      <c r="AG1196" s="55">
        <v>0</v>
      </c>
      <c r="AH1196" s="55">
        <v>0</v>
      </c>
      <c r="AI1196" s="55">
        <v>0</v>
      </c>
      <c r="AJ1196" s="55">
        <v>9200137</v>
      </c>
      <c r="AK1196" s="55">
        <v>0</v>
      </c>
      <c r="AL1196" s="55">
        <v>44933</v>
      </c>
      <c r="AM1196" s="55">
        <v>1577</v>
      </c>
      <c r="AN1196" s="55">
        <v>9993450</v>
      </c>
      <c r="AO1196" s="55">
        <v>4257900</v>
      </c>
      <c r="AQ1196" s="55">
        <v>51568800452400</v>
      </c>
      <c r="AR1196" s="55">
        <v>166876671500</v>
      </c>
      <c r="AS1196" s="55">
        <v>97459803000</v>
      </c>
      <c r="AT1196" s="55">
        <v>262938808999.71002</v>
      </c>
      <c r="AU1196" s="55">
        <f t="shared" si="813"/>
        <v>68129837</v>
      </c>
      <c r="AV1196" s="99">
        <f t="shared" si="814"/>
        <v>45811140166.877014</v>
      </c>
    </row>
    <row r="1197" spans="1:48">
      <c r="A1197" s="92">
        <v>45429</v>
      </c>
      <c r="B1197" s="55">
        <v>93360827000</v>
      </c>
      <c r="C1197" s="55">
        <v>0</v>
      </c>
      <c r="D1197" s="55">
        <v>0</v>
      </c>
      <c r="E1197" s="55">
        <v>0</v>
      </c>
      <c r="F1197" s="55">
        <v>93360827000</v>
      </c>
      <c r="G1197" s="55">
        <v>25207423</v>
      </c>
      <c r="H1197" s="55">
        <v>4095975000</v>
      </c>
      <c r="I1197" s="55">
        <v>0</v>
      </c>
      <c r="J1197" s="55">
        <v>4095975000</v>
      </c>
      <c r="L1197" s="55">
        <v>53502270000</v>
      </c>
      <c r="M1197" s="55">
        <v>0</v>
      </c>
      <c r="N1197" s="55">
        <v>53502270000</v>
      </c>
      <c r="O1197" s="55">
        <v>9082228000</v>
      </c>
      <c r="P1197" s="55">
        <v>1665120000</v>
      </c>
      <c r="Q1197" s="55">
        <v>10747348000</v>
      </c>
      <c r="R1197" s="55">
        <v>228987000</v>
      </c>
      <c r="S1197" s="55">
        <v>0</v>
      </c>
      <c r="T1197" s="55">
        <v>228987000</v>
      </c>
      <c r="U1197" s="55">
        <v>89991000</v>
      </c>
      <c r="V1197" s="55">
        <v>0</v>
      </c>
      <c r="W1197" s="55">
        <v>89991000</v>
      </c>
      <c r="X1197" s="55">
        <v>30150000</v>
      </c>
      <c r="Y1197" s="55">
        <v>0</v>
      </c>
      <c r="Z1197" s="55">
        <v>30150000</v>
      </c>
      <c r="AA1197" s="55">
        <v>1192000</v>
      </c>
      <c r="AB1197" s="55">
        <v>0</v>
      </c>
      <c r="AC1197" s="55">
        <v>1192000</v>
      </c>
      <c r="AD1197" s="55">
        <v>2438000</v>
      </c>
      <c r="AE1197" s="55">
        <v>0</v>
      </c>
      <c r="AF1197" s="55">
        <v>2438000</v>
      </c>
      <c r="AG1197" s="55">
        <v>0</v>
      </c>
      <c r="AH1197" s="55">
        <v>0</v>
      </c>
      <c r="AI1197" s="55">
        <v>0</v>
      </c>
      <c r="AJ1197" s="55">
        <v>7539311</v>
      </c>
      <c r="AK1197" s="55">
        <v>0</v>
      </c>
      <c r="AL1197" s="55">
        <v>44933</v>
      </c>
      <c r="AM1197" s="55">
        <v>1233</v>
      </c>
      <c r="AN1197" s="55">
        <v>29483100</v>
      </c>
      <c r="AO1197" s="55">
        <v>3329100</v>
      </c>
      <c r="AQ1197" s="55">
        <v>52150922812800</v>
      </c>
      <c r="AR1197" s="55">
        <v>245541722440</v>
      </c>
      <c r="AS1197" s="55">
        <v>70558989000</v>
      </c>
      <c r="AT1197" s="55">
        <v>163919816000</v>
      </c>
      <c r="AU1197" s="55">
        <f t="shared" ref="AU1197:AU1201" si="815">G1197+AJ1197+AK1197+AN1197+AO1197+AP1197</f>
        <v>65558934</v>
      </c>
      <c r="AV1197" s="99">
        <f t="shared" ref="AV1197:AV1201" si="816">AV1196+AU1197</f>
        <v>45876699100.877014</v>
      </c>
    </row>
    <row r="1198" spans="1:48">
      <c r="A1198" s="92">
        <v>45432</v>
      </c>
      <c r="B1198" s="55">
        <v>201798071000</v>
      </c>
      <c r="C1198" s="55">
        <v>0</v>
      </c>
      <c r="D1198" s="55">
        <v>0</v>
      </c>
      <c r="E1198" s="55">
        <v>0</v>
      </c>
      <c r="F1198" s="55">
        <v>201798071000</v>
      </c>
      <c r="G1198" s="55">
        <v>54485479</v>
      </c>
      <c r="H1198" s="55">
        <v>2313146000</v>
      </c>
      <c r="I1198" s="55">
        <v>95529000000</v>
      </c>
      <c r="J1198" s="55">
        <v>97842146000</v>
      </c>
      <c r="L1198" s="55">
        <v>17716226000</v>
      </c>
      <c r="M1198" s="55">
        <v>0</v>
      </c>
      <c r="N1198" s="55">
        <v>17716226000</v>
      </c>
      <c r="O1198" s="55">
        <v>486498000</v>
      </c>
      <c r="P1198" s="55">
        <v>0</v>
      </c>
      <c r="Q1198" s="55">
        <v>486498000</v>
      </c>
      <c r="R1198" s="55">
        <v>642541000</v>
      </c>
      <c r="S1198" s="55">
        <v>0</v>
      </c>
      <c r="T1198" s="55">
        <v>642541000</v>
      </c>
      <c r="U1198" s="55">
        <v>258493000</v>
      </c>
      <c r="V1198" s="55">
        <v>0</v>
      </c>
      <c r="W1198" s="55">
        <v>258493000</v>
      </c>
      <c r="X1198" s="55">
        <v>219110000</v>
      </c>
      <c r="Y1198" s="55">
        <v>0</v>
      </c>
      <c r="Z1198" s="55">
        <v>219110000</v>
      </c>
      <c r="AA1198" s="55">
        <v>1895836000</v>
      </c>
      <c r="AB1198" s="55">
        <v>0</v>
      </c>
      <c r="AC1198" s="55">
        <v>1895836000</v>
      </c>
      <c r="AD1198" s="55">
        <v>3687000</v>
      </c>
      <c r="AE1198" s="55">
        <v>0</v>
      </c>
      <c r="AF1198" s="55">
        <v>3687000</v>
      </c>
      <c r="AG1198" s="55">
        <v>0</v>
      </c>
      <c r="AH1198" s="55">
        <v>0</v>
      </c>
      <c r="AI1198" s="55">
        <v>0</v>
      </c>
      <c r="AJ1198" s="55">
        <v>19737058</v>
      </c>
      <c r="AK1198" s="55">
        <v>0</v>
      </c>
      <c r="AL1198" s="55">
        <v>44933</v>
      </c>
      <c r="AM1198" s="55">
        <v>2519</v>
      </c>
      <c r="AN1198" s="55">
        <v>15266850</v>
      </c>
      <c r="AO1198" s="55">
        <v>6801300</v>
      </c>
      <c r="AQ1198" s="55">
        <v>61702681891800</v>
      </c>
      <c r="AR1198" s="55">
        <v>324284577000</v>
      </c>
      <c r="AS1198" s="55">
        <v>215137838000</v>
      </c>
      <c r="AT1198" s="55">
        <v>416935909000</v>
      </c>
      <c r="AU1198" s="55">
        <f t="shared" si="815"/>
        <v>96290687</v>
      </c>
      <c r="AV1198" s="99">
        <f t="shared" si="816"/>
        <v>45972989787.877014</v>
      </c>
    </row>
    <row r="1199" spans="1:48">
      <c r="A1199" s="92">
        <v>45433</v>
      </c>
      <c r="B1199" s="55">
        <v>24283201000</v>
      </c>
      <c r="C1199" s="55">
        <v>0</v>
      </c>
      <c r="D1199" s="55">
        <v>0</v>
      </c>
      <c r="E1199" s="55">
        <v>0</v>
      </c>
      <c r="F1199" s="55">
        <v>24283201000</v>
      </c>
      <c r="G1199" s="55">
        <v>6556464</v>
      </c>
      <c r="H1199" s="55">
        <v>3788382000</v>
      </c>
      <c r="I1199" s="55">
        <v>11288600000</v>
      </c>
      <c r="J1199" s="55">
        <v>15076982000</v>
      </c>
      <c r="L1199" s="55">
        <v>14610115000</v>
      </c>
      <c r="M1199" s="55">
        <v>3210800000</v>
      </c>
      <c r="N1199" s="55">
        <v>17820915000</v>
      </c>
      <c r="O1199" s="55">
        <v>2071000</v>
      </c>
      <c r="P1199" s="55">
        <v>0</v>
      </c>
      <c r="Q1199" s="55">
        <v>2071000</v>
      </c>
      <c r="R1199" s="55">
        <v>332610000</v>
      </c>
      <c r="S1199" s="55">
        <v>0</v>
      </c>
      <c r="T1199" s="55">
        <v>332610000</v>
      </c>
      <c r="U1199" s="55">
        <v>130024000</v>
      </c>
      <c r="V1199" s="55">
        <v>0</v>
      </c>
      <c r="W1199" s="55">
        <v>130024000</v>
      </c>
      <c r="X1199" s="55">
        <v>1721000</v>
      </c>
      <c r="Y1199" s="55">
        <v>0</v>
      </c>
      <c r="Z1199" s="55">
        <v>1721000</v>
      </c>
      <c r="AA1199" s="55">
        <v>146605000</v>
      </c>
      <c r="AB1199" s="55">
        <v>0</v>
      </c>
      <c r="AC1199" s="55">
        <v>146605000</v>
      </c>
      <c r="AD1199" s="55">
        <v>1229000</v>
      </c>
      <c r="AE1199" s="55">
        <v>0</v>
      </c>
      <c r="AF1199" s="55">
        <v>1229000</v>
      </c>
      <c r="AG1199" s="55">
        <v>0</v>
      </c>
      <c r="AH1199" s="55">
        <v>0</v>
      </c>
      <c r="AI1199" s="55">
        <v>0</v>
      </c>
      <c r="AJ1199" s="55">
        <v>4663270</v>
      </c>
      <c r="AK1199" s="55">
        <v>0</v>
      </c>
      <c r="AL1199" s="55">
        <v>44933</v>
      </c>
      <c r="AM1199" s="55">
        <v>280</v>
      </c>
      <c r="AN1199" s="55">
        <v>15317850</v>
      </c>
      <c r="AO1199" s="55">
        <v>756000</v>
      </c>
      <c r="AQ1199" s="55">
        <v>56869414908200</v>
      </c>
      <c r="AR1199" s="55">
        <v>143510448560</v>
      </c>
      <c r="AS1199" s="55">
        <v>48048495000</v>
      </c>
      <c r="AT1199" s="55">
        <v>72331696000</v>
      </c>
      <c r="AU1199" s="55">
        <f t="shared" si="815"/>
        <v>27293584</v>
      </c>
      <c r="AV1199" s="99">
        <f t="shared" si="816"/>
        <v>46000283371.877014</v>
      </c>
    </row>
    <row r="1200" spans="1:48">
      <c r="A1200" s="92">
        <v>45434</v>
      </c>
      <c r="B1200" s="55">
        <v>237961177000</v>
      </c>
      <c r="C1200" s="55">
        <v>4112605000</v>
      </c>
      <c r="D1200" s="55">
        <v>0</v>
      </c>
      <c r="E1200" s="55">
        <v>0</v>
      </c>
      <c r="F1200" s="55">
        <v>242073782000</v>
      </c>
      <c r="G1200" s="55">
        <v>65359921</v>
      </c>
      <c r="H1200" s="55">
        <v>13590079000</v>
      </c>
      <c r="I1200" s="55">
        <v>0</v>
      </c>
      <c r="J1200" s="55">
        <v>13590079000</v>
      </c>
      <c r="L1200" s="55">
        <v>104079740000</v>
      </c>
      <c r="M1200" s="55">
        <v>0</v>
      </c>
      <c r="N1200" s="55">
        <v>104079740000</v>
      </c>
      <c r="O1200" s="55">
        <v>9729793000</v>
      </c>
      <c r="P1200" s="55">
        <v>0</v>
      </c>
      <c r="Q1200" s="55">
        <v>9729793000</v>
      </c>
      <c r="R1200" s="55">
        <v>522552000</v>
      </c>
      <c r="S1200" s="55">
        <v>0</v>
      </c>
      <c r="T1200" s="55">
        <v>522552000</v>
      </c>
      <c r="U1200" s="55">
        <v>138645000</v>
      </c>
      <c r="V1200" s="55">
        <v>0</v>
      </c>
      <c r="W1200" s="55">
        <v>138645000</v>
      </c>
      <c r="X1200" s="55">
        <v>272727000</v>
      </c>
      <c r="Y1200" s="55">
        <v>0</v>
      </c>
      <c r="Z1200" s="55">
        <v>272727000</v>
      </c>
      <c r="AA1200" s="55">
        <v>532034000</v>
      </c>
      <c r="AB1200" s="55">
        <v>0</v>
      </c>
      <c r="AC1200" s="55">
        <v>532034000</v>
      </c>
      <c r="AD1200" s="55">
        <v>1213000</v>
      </c>
      <c r="AE1200" s="55">
        <v>0</v>
      </c>
      <c r="AF1200" s="55">
        <v>1213000</v>
      </c>
      <c r="AG1200" s="55">
        <v>0</v>
      </c>
      <c r="AH1200" s="55">
        <v>0</v>
      </c>
      <c r="AI1200" s="55">
        <v>0</v>
      </c>
      <c r="AJ1200" s="55">
        <v>13917613</v>
      </c>
      <c r="AK1200" s="55">
        <v>0</v>
      </c>
      <c r="AL1200" s="55">
        <v>44933</v>
      </c>
      <c r="AM1200" s="55">
        <v>2262</v>
      </c>
      <c r="AN1200" s="55">
        <v>12732150</v>
      </c>
      <c r="AO1200" s="55">
        <v>6107400</v>
      </c>
      <c r="AQ1200" s="55">
        <v>66926778332000</v>
      </c>
      <c r="AR1200" s="55">
        <v>328343115900</v>
      </c>
      <c r="AS1200" s="55">
        <v>129636492000</v>
      </c>
      <c r="AT1200" s="55">
        <v>371592720000</v>
      </c>
      <c r="AU1200" s="55">
        <f t="shared" si="815"/>
        <v>98117084</v>
      </c>
      <c r="AV1200" s="99">
        <f t="shared" si="816"/>
        <v>46098400455.877014</v>
      </c>
    </row>
    <row r="1201" spans="1:48">
      <c r="A1201" s="92">
        <v>45435</v>
      </c>
      <c r="B1201" s="55">
        <v>320184896999.25995</v>
      </c>
      <c r="C1201" s="55">
        <v>14255904700</v>
      </c>
      <c r="D1201" s="55">
        <v>0</v>
      </c>
      <c r="E1201" s="55">
        <v>0</v>
      </c>
      <c r="F1201" s="55">
        <v>334440801699.25995</v>
      </c>
      <c r="G1201" s="55">
        <v>90299016</v>
      </c>
      <c r="H1201" s="55">
        <v>16113585000</v>
      </c>
      <c r="I1201" s="55">
        <v>42719200000</v>
      </c>
      <c r="J1201" s="55">
        <v>58832785000</v>
      </c>
      <c r="L1201" s="55">
        <v>33711879000</v>
      </c>
      <c r="M1201" s="55">
        <v>0</v>
      </c>
      <c r="N1201" s="55">
        <v>33711879000</v>
      </c>
      <c r="O1201" s="55">
        <v>47150000</v>
      </c>
      <c r="P1201" s="55">
        <v>0</v>
      </c>
      <c r="Q1201" s="55">
        <v>47150000</v>
      </c>
      <c r="R1201" s="55">
        <v>487464000</v>
      </c>
      <c r="S1201" s="55">
        <v>0</v>
      </c>
      <c r="T1201" s="55">
        <v>487464000</v>
      </c>
      <c r="U1201" s="55">
        <v>211493000</v>
      </c>
      <c r="V1201" s="55">
        <v>0</v>
      </c>
      <c r="W1201" s="55">
        <v>211493000</v>
      </c>
      <c r="X1201" s="55">
        <v>225452000</v>
      </c>
      <c r="Y1201" s="55">
        <v>384341700000</v>
      </c>
      <c r="Z1201" s="55">
        <v>384567152000</v>
      </c>
      <c r="AA1201" s="55">
        <v>49668000</v>
      </c>
      <c r="AB1201" s="55">
        <v>0</v>
      </c>
      <c r="AC1201" s="55">
        <v>49668000</v>
      </c>
      <c r="AD1201" s="55">
        <v>3609000</v>
      </c>
      <c r="AE1201" s="55">
        <v>0</v>
      </c>
      <c r="AF1201" s="55">
        <v>3609000</v>
      </c>
      <c r="AG1201" s="55">
        <v>0</v>
      </c>
      <c r="AH1201" s="55">
        <v>0</v>
      </c>
      <c r="AI1201" s="55">
        <v>0</v>
      </c>
      <c r="AJ1201" s="55">
        <v>82362794</v>
      </c>
      <c r="AK1201" s="55">
        <v>0</v>
      </c>
      <c r="AL1201" s="55">
        <v>44933</v>
      </c>
      <c r="AM1201" s="55">
        <v>2371</v>
      </c>
      <c r="AN1201" s="55">
        <v>8588400</v>
      </c>
      <c r="AO1201" s="55">
        <v>6401700</v>
      </c>
      <c r="AQ1201" s="55">
        <v>54464618073600</v>
      </c>
      <c r="AR1201" s="55">
        <v>1116207373740</v>
      </c>
      <c r="AS1201" s="55">
        <v>533142290000</v>
      </c>
      <c r="AT1201" s="55">
        <v>867583091699.26001</v>
      </c>
      <c r="AU1201" s="55">
        <f t="shared" si="815"/>
        <v>187651910</v>
      </c>
      <c r="AV1201" s="99">
        <f t="shared" si="816"/>
        <v>46286052365.877014</v>
      </c>
    </row>
    <row r="1202" spans="1:48">
      <c r="A1202" s="92">
        <v>45436</v>
      </c>
      <c r="B1202" s="55">
        <v>228693670000</v>
      </c>
      <c r="C1202" s="55">
        <v>0</v>
      </c>
      <c r="D1202" s="55">
        <v>0</v>
      </c>
      <c r="E1202" s="55">
        <v>0</v>
      </c>
      <c r="F1202" s="55">
        <v>228693670000</v>
      </c>
      <c r="G1202" s="55">
        <v>61747291</v>
      </c>
      <c r="H1202" s="55">
        <v>17701056000</v>
      </c>
      <c r="I1202" s="55">
        <v>74153900000</v>
      </c>
      <c r="J1202" s="55">
        <v>91854956000</v>
      </c>
      <c r="L1202" s="55">
        <v>37122006000</v>
      </c>
      <c r="M1202" s="55">
        <v>72276100000</v>
      </c>
      <c r="N1202" s="55">
        <v>109398106000</v>
      </c>
      <c r="O1202" s="55">
        <v>17615251000</v>
      </c>
      <c r="P1202" s="55">
        <v>0</v>
      </c>
      <c r="Q1202" s="55">
        <v>17615251000</v>
      </c>
      <c r="R1202" s="55">
        <v>3386019000</v>
      </c>
      <c r="S1202" s="55">
        <v>0</v>
      </c>
      <c r="T1202" s="55">
        <v>3386019000</v>
      </c>
      <c r="U1202" s="55">
        <v>103854000</v>
      </c>
      <c r="V1202" s="55">
        <v>0</v>
      </c>
      <c r="W1202" s="55">
        <v>103854000</v>
      </c>
      <c r="X1202" s="55">
        <v>868367000</v>
      </c>
      <c r="Y1202" s="55">
        <v>0</v>
      </c>
      <c r="Z1202" s="55">
        <v>868367000</v>
      </c>
      <c r="AA1202" s="55">
        <v>912291000</v>
      </c>
      <c r="AB1202" s="55">
        <v>0</v>
      </c>
      <c r="AC1202" s="55">
        <v>912291000</v>
      </c>
      <c r="AD1202" s="55">
        <v>0</v>
      </c>
      <c r="AE1202" s="55">
        <v>0</v>
      </c>
      <c r="AF1202" s="55">
        <v>0</v>
      </c>
      <c r="AG1202" s="55">
        <v>0</v>
      </c>
      <c r="AH1202" s="55">
        <v>0</v>
      </c>
      <c r="AI1202" s="55">
        <v>0</v>
      </c>
      <c r="AJ1202" s="55">
        <v>34749955</v>
      </c>
      <c r="AK1202" s="55">
        <v>0</v>
      </c>
      <c r="AL1202" s="55">
        <v>44933</v>
      </c>
      <c r="AM1202" s="55">
        <v>2289</v>
      </c>
      <c r="AN1202" s="55">
        <v>31693950</v>
      </c>
      <c r="AO1202" s="55">
        <v>6180300</v>
      </c>
      <c r="AQ1202" s="55">
        <v>80698448590000</v>
      </c>
      <c r="AR1202" s="55">
        <v>633529485380</v>
      </c>
      <c r="AS1202" s="55">
        <v>370969420000</v>
      </c>
      <c r="AT1202" s="55">
        <v>599661899000</v>
      </c>
      <c r="AU1202" s="55">
        <f t="shared" ref="AU1202:AU1206" si="817">G1202+AJ1202+AK1202+AN1202+AO1202+AP1202</f>
        <v>134371496</v>
      </c>
      <c r="AV1202" s="99">
        <f t="shared" ref="AV1202:AV1206" si="818">AV1201+AU1202</f>
        <v>46420423861.877014</v>
      </c>
    </row>
    <row r="1203" spans="1:48">
      <c r="A1203" s="92">
        <v>45439</v>
      </c>
      <c r="B1203" s="55">
        <v>100759930000</v>
      </c>
      <c r="C1203" s="55">
        <v>0</v>
      </c>
      <c r="D1203" s="55">
        <v>0</v>
      </c>
      <c r="E1203" s="55">
        <v>65680020000</v>
      </c>
      <c r="F1203" s="55">
        <v>166439950000</v>
      </c>
      <c r="G1203" s="55">
        <v>44938787</v>
      </c>
      <c r="H1203" s="55">
        <v>235426000</v>
      </c>
      <c r="I1203" s="55">
        <v>42377800000</v>
      </c>
      <c r="J1203" s="55">
        <v>42613226000</v>
      </c>
      <c r="L1203" s="55">
        <v>8548966000</v>
      </c>
      <c r="M1203" s="55">
        <v>31680900000</v>
      </c>
      <c r="N1203" s="55">
        <v>40229866000</v>
      </c>
      <c r="O1203" s="55">
        <v>3008482000</v>
      </c>
      <c r="P1203" s="55">
        <v>0</v>
      </c>
      <c r="Q1203" s="55">
        <v>3008482000</v>
      </c>
      <c r="R1203" s="55">
        <v>1428211000</v>
      </c>
      <c r="S1203" s="55">
        <v>0</v>
      </c>
      <c r="T1203" s="55">
        <v>1428211000</v>
      </c>
      <c r="U1203" s="55">
        <v>71587000</v>
      </c>
      <c r="V1203" s="55">
        <v>0</v>
      </c>
      <c r="W1203" s="55">
        <v>71587000</v>
      </c>
      <c r="X1203" s="55">
        <v>56052000</v>
      </c>
      <c r="Y1203" s="55">
        <v>21310000000</v>
      </c>
      <c r="Z1203" s="55">
        <v>21366052000</v>
      </c>
      <c r="AA1203" s="55">
        <v>304012000</v>
      </c>
      <c r="AB1203" s="55">
        <v>0</v>
      </c>
      <c r="AC1203" s="55">
        <v>304012000</v>
      </c>
      <c r="AD1203" s="55">
        <v>634836000</v>
      </c>
      <c r="AE1203" s="55">
        <v>0</v>
      </c>
      <c r="AF1203" s="55">
        <v>634836000</v>
      </c>
      <c r="AG1203" s="55">
        <v>0</v>
      </c>
      <c r="AH1203" s="55">
        <v>0</v>
      </c>
      <c r="AI1203" s="55">
        <v>0</v>
      </c>
      <c r="AJ1203" s="55">
        <v>18709424</v>
      </c>
      <c r="AK1203" s="55">
        <v>0</v>
      </c>
      <c r="AL1203" s="55">
        <v>44933</v>
      </c>
      <c r="AM1203" s="55">
        <v>2154</v>
      </c>
      <c r="AN1203" s="55">
        <v>12696450</v>
      </c>
      <c r="AO1203" s="55">
        <v>5815800</v>
      </c>
      <c r="AQ1203" s="55">
        <v>39742067900400</v>
      </c>
      <c r="AR1203" s="55">
        <v>256362518840</v>
      </c>
      <c r="AS1203" s="55">
        <v>205617309000</v>
      </c>
      <c r="AT1203" s="55">
        <v>372056066000</v>
      </c>
      <c r="AU1203" s="55">
        <f t="shared" si="817"/>
        <v>82160461</v>
      </c>
      <c r="AV1203" s="99">
        <f t="shared" si="818"/>
        <v>46502584322.877014</v>
      </c>
    </row>
    <row r="1204" spans="1:48">
      <c r="A1204" s="92">
        <v>45440</v>
      </c>
      <c r="B1204" s="55">
        <v>213240997000</v>
      </c>
      <c r="C1204" s="55">
        <v>0</v>
      </c>
      <c r="D1204" s="55">
        <v>0</v>
      </c>
      <c r="E1204" s="55">
        <v>0</v>
      </c>
      <c r="F1204" s="55">
        <v>213240997000</v>
      </c>
      <c r="G1204" s="55">
        <v>57575069</v>
      </c>
      <c r="H1204" s="55">
        <v>3041095000</v>
      </c>
      <c r="I1204" s="55">
        <v>13460400000</v>
      </c>
      <c r="J1204" s="55">
        <v>16501495000</v>
      </c>
      <c r="L1204" s="55">
        <v>32904048000</v>
      </c>
      <c r="M1204" s="55">
        <v>19059600000</v>
      </c>
      <c r="N1204" s="55">
        <v>51963648000</v>
      </c>
      <c r="O1204" s="55">
        <v>11373411000</v>
      </c>
      <c r="P1204" s="55">
        <v>0</v>
      </c>
      <c r="Q1204" s="55">
        <v>11373411000</v>
      </c>
      <c r="R1204" s="55">
        <v>1892772000</v>
      </c>
      <c r="S1204" s="55">
        <v>0</v>
      </c>
      <c r="T1204" s="55">
        <v>1892772000</v>
      </c>
      <c r="U1204" s="55">
        <v>185343000</v>
      </c>
      <c r="V1204" s="55">
        <v>0</v>
      </c>
      <c r="W1204" s="55">
        <v>185343000</v>
      </c>
      <c r="X1204" s="55">
        <v>865000</v>
      </c>
      <c r="Y1204" s="55">
        <v>0</v>
      </c>
      <c r="Z1204" s="55">
        <v>865000</v>
      </c>
      <c r="AA1204" s="55">
        <v>368442000</v>
      </c>
      <c r="AB1204" s="55">
        <v>0</v>
      </c>
      <c r="AC1204" s="55">
        <v>368442000</v>
      </c>
      <c r="AD1204" s="55">
        <v>1221000</v>
      </c>
      <c r="AE1204" s="55">
        <v>0</v>
      </c>
      <c r="AF1204" s="55">
        <v>1221000</v>
      </c>
      <c r="AG1204" s="55">
        <v>0</v>
      </c>
      <c r="AH1204" s="55">
        <v>0</v>
      </c>
      <c r="AI1204" s="55">
        <v>0</v>
      </c>
      <c r="AJ1204" s="55">
        <v>11228457</v>
      </c>
      <c r="AK1204" s="55">
        <v>0</v>
      </c>
      <c r="AL1204" s="55">
        <v>44933</v>
      </c>
      <c r="AM1204" s="55">
        <v>3390</v>
      </c>
      <c r="AN1204" s="55">
        <v>10452450</v>
      </c>
      <c r="AO1204" s="55">
        <v>9153000</v>
      </c>
      <c r="AQ1204" s="55">
        <v>50002010527800</v>
      </c>
      <c r="AR1204" s="55">
        <v>232949979740</v>
      </c>
      <c r="AS1204" s="55">
        <v>115075051000</v>
      </c>
      <c r="AT1204" s="55">
        <v>328316048000</v>
      </c>
      <c r="AU1204" s="55">
        <f t="shared" si="817"/>
        <v>88408976</v>
      </c>
      <c r="AV1204" s="99">
        <f t="shared" si="818"/>
        <v>46590993298.877014</v>
      </c>
    </row>
    <row r="1205" spans="1:48">
      <c r="A1205" s="92">
        <v>45441</v>
      </c>
      <c r="B1205" s="55">
        <v>246528970000</v>
      </c>
      <c r="C1205" s="55">
        <v>0</v>
      </c>
      <c r="D1205" s="55">
        <v>0</v>
      </c>
      <c r="E1205" s="55">
        <v>4897450000</v>
      </c>
      <c r="F1205" s="55">
        <v>251426420000</v>
      </c>
      <c r="G1205" s="55">
        <v>67885133</v>
      </c>
      <c r="H1205" s="55">
        <v>21456669000</v>
      </c>
      <c r="I1205" s="55">
        <v>47023700000</v>
      </c>
      <c r="J1205" s="55">
        <v>68480369000</v>
      </c>
      <c r="L1205" s="55">
        <v>36773557000</v>
      </c>
      <c r="M1205" s="55">
        <v>0</v>
      </c>
      <c r="N1205" s="55">
        <v>36773557000</v>
      </c>
      <c r="O1205" s="55">
        <v>8207915000</v>
      </c>
      <c r="P1205" s="55">
        <v>0</v>
      </c>
      <c r="Q1205" s="55">
        <v>8207915000</v>
      </c>
      <c r="R1205" s="55">
        <v>2239876000</v>
      </c>
      <c r="S1205" s="55">
        <v>0</v>
      </c>
      <c r="T1205" s="55">
        <v>2239876000</v>
      </c>
      <c r="U1205" s="55">
        <v>160054000</v>
      </c>
      <c r="V1205" s="55">
        <v>0</v>
      </c>
      <c r="W1205" s="55">
        <v>160054000</v>
      </c>
      <c r="X1205" s="55">
        <v>150589000</v>
      </c>
      <c r="Y1205" s="55">
        <v>0</v>
      </c>
      <c r="Z1205" s="55">
        <v>150589000</v>
      </c>
      <c r="AA1205" s="55">
        <v>56236000</v>
      </c>
      <c r="AB1205" s="55">
        <v>0</v>
      </c>
      <c r="AC1205" s="55">
        <v>56236000</v>
      </c>
      <c r="AD1205" s="55">
        <v>0</v>
      </c>
      <c r="AE1205" s="55">
        <v>0</v>
      </c>
      <c r="AF1205" s="55">
        <v>0</v>
      </c>
      <c r="AG1205" s="55">
        <v>0</v>
      </c>
      <c r="AH1205" s="55">
        <v>0</v>
      </c>
      <c r="AI1205" s="55">
        <v>0</v>
      </c>
      <c r="AJ1205" s="55">
        <v>15921115</v>
      </c>
      <c r="AK1205" s="55">
        <v>0</v>
      </c>
      <c r="AL1205" s="55">
        <v>44933</v>
      </c>
      <c r="AM1205" s="55">
        <v>3916</v>
      </c>
      <c r="AN1205" s="55">
        <v>3975450</v>
      </c>
      <c r="AO1205" s="55">
        <v>10573200</v>
      </c>
      <c r="AQ1205" s="55">
        <v>57294454666000</v>
      </c>
      <c r="AR1205" s="55">
        <v>309131230240</v>
      </c>
      <c r="AS1205" s="55">
        <v>163250344000</v>
      </c>
      <c r="AT1205" s="55">
        <v>414676764000</v>
      </c>
      <c r="AU1205" s="55">
        <f t="shared" si="817"/>
        <v>98354898</v>
      </c>
      <c r="AV1205" s="99">
        <f t="shared" si="818"/>
        <v>46689348196.877014</v>
      </c>
    </row>
    <row r="1206" spans="1:48">
      <c r="A1206" s="92">
        <v>45442</v>
      </c>
      <c r="B1206" s="55">
        <v>161225059999.75</v>
      </c>
      <c r="C1206" s="55">
        <v>4201365000</v>
      </c>
      <c r="D1206" s="55">
        <v>0</v>
      </c>
      <c r="E1206" s="55">
        <v>0</v>
      </c>
      <c r="F1206" s="55">
        <v>165426424999.75</v>
      </c>
      <c r="G1206" s="55">
        <v>44665135</v>
      </c>
      <c r="H1206" s="55">
        <v>27397862000</v>
      </c>
      <c r="I1206" s="55">
        <v>8872100000</v>
      </c>
      <c r="J1206" s="55">
        <v>36269962000</v>
      </c>
      <c r="L1206" s="55">
        <v>8082956000</v>
      </c>
      <c r="M1206" s="55">
        <v>3141800000</v>
      </c>
      <c r="N1206" s="55">
        <v>11224756000</v>
      </c>
      <c r="O1206" s="55">
        <v>8128603000</v>
      </c>
      <c r="P1206" s="55">
        <v>0</v>
      </c>
      <c r="Q1206" s="55">
        <v>8128603000</v>
      </c>
      <c r="R1206" s="55">
        <v>1602512000</v>
      </c>
      <c r="S1206" s="55">
        <v>0</v>
      </c>
      <c r="T1206" s="55">
        <v>1602512000</v>
      </c>
      <c r="U1206" s="55">
        <v>165605000</v>
      </c>
      <c r="V1206" s="55">
        <v>0</v>
      </c>
      <c r="W1206" s="55">
        <v>165605000</v>
      </c>
      <c r="X1206" s="55">
        <v>25389000</v>
      </c>
      <c r="Y1206" s="55">
        <v>0</v>
      </c>
      <c r="Z1206" s="55">
        <v>25389000</v>
      </c>
      <c r="AA1206" s="55">
        <v>123597000</v>
      </c>
      <c r="AB1206" s="55">
        <v>0</v>
      </c>
      <c r="AC1206" s="55">
        <v>123597000</v>
      </c>
      <c r="AD1206" s="55">
        <v>5995000</v>
      </c>
      <c r="AE1206" s="55">
        <v>0</v>
      </c>
      <c r="AF1206" s="55">
        <v>5995000</v>
      </c>
      <c r="AG1206" s="55">
        <v>0</v>
      </c>
      <c r="AH1206" s="55">
        <v>0</v>
      </c>
      <c r="AI1206" s="55">
        <v>0</v>
      </c>
      <c r="AJ1206" s="55">
        <v>7080014</v>
      </c>
      <c r="AK1206" s="55">
        <v>0</v>
      </c>
      <c r="AL1206" s="55">
        <v>44933</v>
      </c>
      <c r="AM1206" s="55">
        <v>1597</v>
      </c>
      <c r="AN1206" s="55">
        <v>3656700</v>
      </c>
      <c r="AO1206" s="55">
        <v>4311900</v>
      </c>
      <c r="AQ1206" s="55">
        <v>62848579150400</v>
      </c>
      <c r="AR1206" s="55">
        <v>167339512720</v>
      </c>
      <c r="AS1206" s="55">
        <v>69994480000</v>
      </c>
      <c r="AT1206" s="55">
        <v>235367399999.75</v>
      </c>
      <c r="AU1206" s="55">
        <f t="shared" si="817"/>
        <v>59713749</v>
      </c>
      <c r="AV1206" s="99">
        <f t="shared" si="818"/>
        <v>46749061945.877014</v>
      </c>
    </row>
    <row r="1207" spans="1:48">
      <c r="A1207" s="92">
        <v>45443</v>
      </c>
      <c r="B1207" s="55">
        <v>101131174000</v>
      </c>
      <c r="C1207" s="55">
        <v>0</v>
      </c>
      <c r="D1207" s="55">
        <v>0</v>
      </c>
      <c r="E1207" s="55">
        <v>0</v>
      </c>
      <c r="F1207" s="55">
        <v>101131174000</v>
      </c>
      <c r="G1207" s="55">
        <v>27305417</v>
      </c>
      <c r="H1207" s="55">
        <v>14471284000</v>
      </c>
      <c r="I1207" s="55">
        <v>37856400000</v>
      </c>
      <c r="J1207" s="55">
        <v>52327684000</v>
      </c>
      <c r="L1207" s="55">
        <v>10066024000</v>
      </c>
      <c r="M1207" s="55">
        <v>6339700000</v>
      </c>
      <c r="N1207" s="55">
        <v>16405724000</v>
      </c>
      <c r="O1207" s="55">
        <v>1277472000</v>
      </c>
      <c r="P1207" s="55">
        <v>0</v>
      </c>
      <c r="Q1207" s="55">
        <v>1277472000</v>
      </c>
      <c r="R1207" s="55">
        <v>587353000</v>
      </c>
      <c r="S1207" s="55">
        <v>0</v>
      </c>
      <c r="T1207" s="55">
        <v>587353000</v>
      </c>
      <c r="U1207" s="55">
        <v>34868000</v>
      </c>
      <c r="V1207" s="55">
        <v>0</v>
      </c>
      <c r="W1207" s="55">
        <v>34868000</v>
      </c>
      <c r="X1207" s="55">
        <v>161824000</v>
      </c>
      <c r="Y1207" s="55">
        <v>0</v>
      </c>
      <c r="Z1207" s="55">
        <v>161824000</v>
      </c>
      <c r="AA1207" s="55">
        <v>272733000</v>
      </c>
      <c r="AB1207" s="55">
        <v>0</v>
      </c>
      <c r="AC1207" s="55">
        <v>272733000</v>
      </c>
      <c r="AD1207" s="55">
        <v>632616000</v>
      </c>
      <c r="AE1207" s="55">
        <v>0</v>
      </c>
      <c r="AF1207" s="55">
        <v>632616000</v>
      </c>
      <c r="AG1207" s="55">
        <v>0</v>
      </c>
      <c r="AH1207" s="55">
        <v>0</v>
      </c>
      <c r="AI1207" s="55">
        <v>0</v>
      </c>
      <c r="AJ1207" s="55">
        <v>10925749</v>
      </c>
      <c r="AK1207" s="55">
        <v>0</v>
      </c>
      <c r="AL1207" s="55">
        <v>44933</v>
      </c>
      <c r="AM1207" s="55">
        <v>1173</v>
      </c>
      <c r="AN1207" s="55">
        <v>9524250</v>
      </c>
      <c r="AO1207" s="55">
        <v>3167100</v>
      </c>
      <c r="AP1207" s="55">
        <f>116946782+-23026695.0046082</f>
        <v>93920086.995391801</v>
      </c>
      <c r="AQ1207" s="55">
        <v>42390034997000</v>
      </c>
      <c r="AR1207" s="55">
        <v>179975387040</v>
      </c>
      <c r="AS1207" s="55">
        <v>116217268000</v>
      </c>
      <c r="AT1207" s="55">
        <v>217347251000</v>
      </c>
      <c r="AU1207" s="55">
        <f>G1207+AJ1207+AK1207+AN1207+AO1207+AP1207</f>
        <v>144842602.99539179</v>
      </c>
      <c r="AV1207" s="99">
        <f t="shared" ref="AV1207" si="819">AV1206+AU1207</f>
        <v>46893904548.872406</v>
      </c>
    </row>
    <row r="1208" spans="1:48">
      <c r="A1208" s="92">
        <v>45446</v>
      </c>
      <c r="B1208" s="55">
        <v>194735937000</v>
      </c>
      <c r="C1208" s="55">
        <v>0</v>
      </c>
      <c r="D1208" s="55">
        <v>0</v>
      </c>
      <c r="E1208" s="55">
        <v>0</v>
      </c>
      <c r="F1208" s="55">
        <v>194735937000</v>
      </c>
      <c r="G1208" s="55">
        <v>52578703</v>
      </c>
      <c r="H1208" s="55">
        <v>5634830000</v>
      </c>
      <c r="I1208" s="55">
        <v>22572000000</v>
      </c>
      <c r="J1208" s="55">
        <v>28206830000</v>
      </c>
      <c r="L1208" s="55">
        <v>39128263000</v>
      </c>
      <c r="M1208" s="55">
        <v>0</v>
      </c>
      <c r="N1208" s="55">
        <v>39128263000</v>
      </c>
      <c r="O1208" s="55">
        <v>14810922000</v>
      </c>
      <c r="P1208" s="55">
        <v>0</v>
      </c>
      <c r="Q1208" s="55">
        <v>14810922000</v>
      </c>
      <c r="R1208" s="55">
        <v>1061141000</v>
      </c>
      <c r="S1208" s="55">
        <v>0</v>
      </c>
      <c r="T1208" s="55">
        <v>1061141000</v>
      </c>
      <c r="U1208" s="55">
        <v>147778000</v>
      </c>
      <c r="V1208" s="55">
        <v>0</v>
      </c>
      <c r="W1208" s="55">
        <v>147778000</v>
      </c>
      <c r="X1208" s="55">
        <v>122502000</v>
      </c>
      <c r="Y1208" s="55">
        <v>0</v>
      </c>
      <c r="Z1208" s="55">
        <v>122502000</v>
      </c>
      <c r="AA1208" s="55">
        <v>85560000</v>
      </c>
      <c r="AB1208" s="55">
        <v>0</v>
      </c>
      <c r="AC1208" s="55">
        <v>85560000</v>
      </c>
      <c r="AD1208" s="55">
        <v>2454000</v>
      </c>
      <c r="AE1208" s="55">
        <v>0</v>
      </c>
      <c r="AF1208" s="55">
        <v>2454000</v>
      </c>
      <c r="AG1208" s="55">
        <v>0</v>
      </c>
      <c r="AH1208" s="55">
        <v>0</v>
      </c>
      <c r="AI1208" s="55">
        <v>0</v>
      </c>
      <c r="AJ1208" s="55">
        <v>10650253</v>
      </c>
      <c r="AK1208" s="55">
        <v>0</v>
      </c>
      <c r="AL1208" s="55">
        <v>44933</v>
      </c>
      <c r="AM1208" s="55">
        <v>3908</v>
      </c>
      <c r="AN1208" s="55">
        <v>10411650</v>
      </c>
      <c r="AO1208" s="55">
        <v>10551600</v>
      </c>
      <c r="AQ1208" s="55">
        <v>57679948244800</v>
      </c>
      <c r="AR1208" s="55">
        <v>224222242980</v>
      </c>
      <c r="AS1208" s="55">
        <v>84699750000</v>
      </c>
      <c r="AT1208" s="55">
        <v>279426151000</v>
      </c>
      <c r="AU1208" s="55">
        <f>G1208+AJ1208+AK1208+AN1208+AO1208+AP1208</f>
        <v>84192206</v>
      </c>
      <c r="AV1208" s="99">
        <f t="shared" ref="AV1208:AV1211" si="820">AV1207+AU1208</f>
        <v>46978096754.872406</v>
      </c>
    </row>
    <row r="1209" spans="1:48">
      <c r="A1209" s="92">
        <v>45447</v>
      </c>
      <c r="B1209" s="55">
        <v>141848830000</v>
      </c>
      <c r="C1209" s="55">
        <v>0</v>
      </c>
      <c r="D1209" s="55">
        <v>0</v>
      </c>
      <c r="E1209" s="55">
        <v>0</v>
      </c>
      <c r="F1209" s="55">
        <v>141848830000</v>
      </c>
      <c r="G1209" s="55">
        <v>38299184</v>
      </c>
      <c r="H1209" s="55">
        <v>6990833000</v>
      </c>
      <c r="I1209" s="55">
        <v>40765000000</v>
      </c>
      <c r="J1209" s="55">
        <v>47755833000</v>
      </c>
      <c r="L1209" s="55">
        <v>40918522000</v>
      </c>
      <c r="M1209" s="55">
        <v>3231700000</v>
      </c>
      <c r="N1209" s="55">
        <v>44150222000</v>
      </c>
      <c r="O1209" s="55">
        <v>2102023000</v>
      </c>
      <c r="P1209" s="55">
        <v>0</v>
      </c>
      <c r="Q1209" s="55">
        <v>2102023000</v>
      </c>
      <c r="R1209" s="55">
        <v>188427000</v>
      </c>
      <c r="S1209" s="55">
        <v>0</v>
      </c>
      <c r="T1209" s="55">
        <v>188427000</v>
      </c>
      <c r="U1209" s="55">
        <v>1769252000</v>
      </c>
      <c r="V1209" s="55">
        <v>0</v>
      </c>
      <c r="W1209" s="55">
        <v>1769252000</v>
      </c>
      <c r="X1209" s="55">
        <v>3471000</v>
      </c>
      <c r="Y1209" s="55">
        <v>0</v>
      </c>
      <c r="Z1209" s="55">
        <v>3471000</v>
      </c>
      <c r="AA1209" s="55">
        <v>26065000</v>
      </c>
      <c r="AB1209" s="55">
        <v>0</v>
      </c>
      <c r="AC1209" s="55">
        <v>26065000</v>
      </c>
      <c r="AD1209" s="55">
        <v>0</v>
      </c>
      <c r="AE1209" s="55">
        <v>0</v>
      </c>
      <c r="AF1209" s="55">
        <v>0</v>
      </c>
      <c r="AG1209" s="55">
        <v>0</v>
      </c>
      <c r="AH1209" s="55">
        <v>0</v>
      </c>
      <c r="AI1209" s="55">
        <v>0</v>
      </c>
      <c r="AJ1209" s="55">
        <v>13535254</v>
      </c>
      <c r="AK1209" s="55">
        <v>0</v>
      </c>
      <c r="AL1209" s="55">
        <v>44933</v>
      </c>
      <c r="AM1209" s="55">
        <v>1446</v>
      </c>
      <c r="AN1209" s="55">
        <v>9131550</v>
      </c>
      <c r="AO1209" s="55">
        <v>3904200</v>
      </c>
      <c r="AQ1209" s="55">
        <v>53423540259200</v>
      </c>
      <c r="AR1209" s="55">
        <v>351109283120</v>
      </c>
      <c r="AS1209" s="55">
        <v>140066972000</v>
      </c>
      <c r="AT1209" s="55">
        <v>281902608000</v>
      </c>
      <c r="AU1209" s="55">
        <f t="shared" ref="AU1209:AU1211" si="821">G1209+AJ1209+AK1209+AN1209+AO1209+AP1209</f>
        <v>64870188</v>
      </c>
      <c r="AV1209" s="99">
        <f t="shared" si="820"/>
        <v>47042966942.872406</v>
      </c>
    </row>
    <row r="1210" spans="1:48">
      <c r="A1210" s="92">
        <v>45448</v>
      </c>
      <c r="B1210" s="55">
        <v>148613266000</v>
      </c>
      <c r="C1210" s="55">
        <v>0</v>
      </c>
      <c r="D1210" s="55">
        <v>0</v>
      </c>
      <c r="E1210" s="55">
        <v>0</v>
      </c>
      <c r="F1210" s="55">
        <v>148613266000</v>
      </c>
      <c r="G1210" s="55">
        <v>40125582</v>
      </c>
      <c r="H1210" s="55">
        <v>7788938000</v>
      </c>
      <c r="I1210" s="55">
        <v>24961800000</v>
      </c>
      <c r="J1210" s="55">
        <v>32750738000</v>
      </c>
      <c r="L1210" s="55">
        <v>61262019000</v>
      </c>
      <c r="M1210" s="55">
        <v>19396900000</v>
      </c>
      <c r="N1210" s="55">
        <v>80658919000</v>
      </c>
      <c r="O1210" s="55">
        <v>14932247000</v>
      </c>
      <c r="P1210" s="55">
        <v>0</v>
      </c>
      <c r="Q1210" s="55">
        <v>14932247000</v>
      </c>
      <c r="R1210" s="55">
        <v>753552000</v>
      </c>
      <c r="S1210" s="55">
        <v>0</v>
      </c>
      <c r="T1210" s="55">
        <v>753552000</v>
      </c>
      <c r="U1210" s="55">
        <v>882333000</v>
      </c>
      <c r="V1210" s="55">
        <v>0</v>
      </c>
      <c r="W1210" s="55">
        <v>882333000</v>
      </c>
      <c r="X1210" s="55">
        <v>457119000</v>
      </c>
      <c r="Y1210" s="55">
        <v>0</v>
      </c>
      <c r="Z1210" s="55">
        <v>457119000</v>
      </c>
      <c r="AA1210" s="55">
        <v>350018000</v>
      </c>
      <c r="AB1210" s="55">
        <v>0</v>
      </c>
      <c r="AC1210" s="55">
        <v>350018000</v>
      </c>
      <c r="AD1210" s="55">
        <v>1229000</v>
      </c>
      <c r="AE1210" s="55">
        <v>0</v>
      </c>
      <c r="AF1210" s="55">
        <v>1229000</v>
      </c>
      <c r="AG1210" s="55">
        <v>26940000</v>
      </c>
      <c r="AH1210" s="55">
        <v>0</v>
      </c>
      <c r="AI1210" s="55">
        <v>26940000</v>
      </c>
      <c r="AJ1210" s="55">
        <v>17321641</v>
      </c>
      <c r="AK1210" s="55">
        <v>0</v>
      </c>
      <c r="AL1210" s="55">
        <v>44933</v>
      </c>
      <c r="AM1210" s="55">
        <v>1958</v>
      </c>
      <c r="AN1210" s="55">
        <v>13089150</v>
      </c>
      <c r="AO1210" s="55">
        <v>5286600</v>
      </c>
      <c r="AQ1210" s="55">
        <v>55379989321800</v>
      </c>
      <c r="AR1210" s="55">
        <v>344546189640</v>
      </c>
      <c r="AS1210" s="55">
        <v>173754484000</v>
      </c>
      <c r="AT1210" s="55">
        <v>322366527000</v>
      </c>
      <c r="AU1210" s="55">
        <f t="shared" si="821"/>
        <v>75822973</v>
      </c>
      <c r="AV1210" s="99">
        <f t="shared" si="820"/>
        <v>47118789915.872406</v>
      </c>
    </row>
    <row r="1211" spans="1:48">
      <c r="A1211" s="92">
        <v>45449</v>
      </c>
      <c r="B1211" s="55">
        <v>192341175000</v>
      </c>
      <c r="C1211" s="55">
        <v>0</v>
      </c>
      <c r="D1211" s="55">
        <v>0</v>
      </c>
      <c r="E1211" s="55">
        <v>0</v>
      </c>
      <c r="F1211" s="55">
        <v>192341175000</v>
      </c>
      <c r="G1211" s="55">
        <v>51932117</v>
      </c>
      <c r="H1211" s="55">
        <v>7073862000</v>
      </c>
      <c r="I1211" s="55">
        <v>10210500000</v>
      </c>
      <c r="J1211" s="55">
        <v>17284362000</v>
      </c>
      <c r="L1211" s="55">
        <v>48619625000</v>
      </c>
      <c r="M1211" s="55">
        <v>35461900000</v>
      </c>
      <c r="N1211" s="55">
        <v>84081525000</v>
      </c>
      <c r="O1211" s="55">
        <v>9510905000</v>
      </c>
      <c r="P1211" s="55">
        <v>0</v>
      </c>
      <c r="Q1211" s="55">
        <v>9510905000</v>
      </c>
      <c r="R1211" s="55">
        <v>457362000</v>
      </c>
      <c r="S1211" s="55">
        <v>0</v>
      </c>
      <c r="T1211" s="55">
        <v>457362000</v>
      </c>
      <c r="U1211" s="55">
        <v>71323000</v>
      </c>
      <c r="V1211" s="55">
        <v>0</v>
      </c>
      <c r="W1211" s="55">
        <v>71323000</v>
      </c>
      <c r="X1211" s="55">
        <v>23456000</v>
      </c>
      <c r="Y1211" s="55">
        <v>0</v>
      </c>
      <c r="Z1211" s="55">
        <v>23456000</v>
      </c>
      <c r="AA1211" s="55">
        <v>293206000</v>
      </c>
      <c r="AB1211" s="55">
        <v>0</v>
      </c>
      <c r="AC1211" s="55">
        <v>293206000</v>
      </c>
      <c r="AD1211" s="55">
        <v>0</v>
      </c>
      <c r="AE1211" s="55">
        <v>0</v>
      </c>
      <c r="AF1211" s="55">
        <v>0</v>
      </c>
      <c r="AG1211" s="55">
        <v>0</v>
      </c>
      <c r="AH1211" s="55">
        <v>0</v>
      </c>
      <c r="AI1211" s="55">
        <v>0</v>
      </c>
      <c r="AJ1211" s="55">
        <v>15354404</v>
      </c>
      <c r="AK1211" s="55">
        <v>0</v>
      </c>
      <c r="AL1211" s="55">
        <v>44933</v>
      </c>
      <c r="AM1211" s="55">
        <v>1860</v>
      </c>
      <c r="AN1211" s="55">
        <v>10998150</v>
      </c>
      <c r="AO1211" s="55">
        <v>5022000</v>
      </c>
      <c r="AQ1211" s="55">
        <v>49955405211800</v>
      </c>
      <c r="AR1211" s="55">
        <v>271822098440</v>
      </c>
      <c r="AS1211" s="55">
        <v>157463881000</v>
      </c>
      <c r="AT1211" s="55">
        <v>349803833000</v>
      </c>
      <c r="AU1211" s="55">
        <f t="shared" si="821"/>
        <v>83306671</v>
      </c>
      <c r="AV1211" s="99">
        <f t="shared" si="820"/>
        <v>47202096586.872406</v>
      </c>
    </row>
    <row r="1212" spans="1:48">
      <c r="A1212" s="92">
        <v>45450</v>
      </c>
      <c r="B1212" s="55">
        <v>156656145000</v>
      </c>
      <c r="C1212" s="55">
        <v>0</v>
      </c>
      <c r="D1212" s="55">
        <v>0</v>
      </c>
      <c r="E1212" s="55">
        <v>0</v>
      </c>
      <c r="F1212" s="55">
        <v>156656145000</v>
      </c>
      <c r="G1212" s="55">
        <v>42297159</v>
      </c>
      <c r="H1212" s="55">
        <v>5021544000</v>
      </c>
      <c r="I1212" s="55">
        <v>45482500000</v>
      </c>
      <c r="J1212" s="55">
        <v>50504044000</v>
      </c>
      <c r="L1212" s="55">
        <v>32475928000</v>
      </c>
      <c r="M1212" s="55">
        <v>19319000000</v>
      </c>
      <c r="N1212" s="55">
        <v>51794928000</v>
      </c>
      <c r="O1212" s="55">
        <v>7954634000</v>
      </c>
      <c r="P1212" s="55">
        <v>0</v>
      </c>
      <c r="Q1212" s="55">
        <v>7954634000</v>
      </c>
      <c r="R1212" s="55">
        <v>347828000</v>
      </c>
      <c r="S1212" s="55">
        <v>0</v>
      </c>
      <c r="T1212" s="55">
        <v>347828000</v>
      </c>
      <c r="U1212" s="55">
        <v>32378000</v>
      </c>
      <c r="V1212" s="55">
        <v>0</v>
      </c>
      <c r="W1212" s="55">
        <v>32378000</v>
      </c>
      <c r="X1212" s="55">
        <v>7806000</v>
      </c>
      <c r="Y1212" s="55">
        <v>0</v>
      </c>
      <c r="Z1212" s="55">
        <v>7806000</v>
      </c>
      <c r="AA1212" s="55">
        <v>386212000</v>
      </c>
      <c r="AB1212" s="55">
        <v>0</v>
      </c>
      <c r="AC1212" s="55">
        <v>386212000</v>
      </c>
      <c r="AD1212" s="55">
        <v>0</v>
      </c>
      <c r="AE1212" s="55">
        <v>0</v>
      </c>
      <c r="AF1212" s="55">
        <v>0</v>
      </c>
      <c r="AG1212" s="55">
        <v>0</v>
      </c>
      <c r="AH1212" s="55">
        <v>0</v>
      </c>
      <c r="AI1212" s="55">
        <v>0</v>
      </c>
      <c r="AJ1212" s="55">
        <v>16656714</v>
      </c>
      <c r="AK1212" s="55">
        <v>0</v>
      </c>
      <c r="AL1212" s="55">
        <v>44933</v>
      </c>
      <c r="AM1212" s="55">
        <v>1830</v>
      </c>
      <c r="AN1212" s="55">
        <v>37018350</v>
      </c>
      <c r="AO1212" s="55">
        <v>4941000</v>
      </c>
      <c r="AQ1212" s="55">
        <v>41172187823400</v>
      </c>
      <c r="AR1212" s="55">
        <v>271213619860</v>
      </c>
      <c r="AS1212" s="55">
        <v>176475323000</v>
      </c>
      <c r="AT1212" s="55">
        <v>333131468000</v>
      </c>
      <c r="AU1212" s="55">
        <f t="shared" ref="AU1212:AU1216" si="822">G1212+AJ1212+AK1212+AN1212+AO1212+AP1212</f>
        <v>100913223</v>
      </c>
      <c r="AV1212" s="99">
        <f t="shared" ref="AV1212:AV1216" si="823">AV1211+AU1212</f>
        <v>47303009809.872406</v>
      </c>
    </row>
    <row r="1213" spans="1:48">
      <c r="A1213" s="92">
        <v>45453</v>
      </c>
      <c r="B1213" s="55">
        <v>44809915000</v>
      </c>
      <c r="C1213" s="55">
        <v>4123975000</v>
      </c>
      <c r="D1213" s="55">
        <v>0</v>
      </c>
      <c r="E1213" s="55">
        <v>0</v>
      </c>
      <c r="F1213" s="55">
        <v>48933890000</v>
      </c>
      <c r="G1213" s="55">
        <v>13212150</v>
      </c>
      <c r="H1213" s="55">
        <v>2881118000</v>
      </c>
      <c r="I1213" s="55">
        <v>11430100000</v>
      </c>
      <c r="J1213" s="55">
        <v>14311218000</v>
      </c>
      <c r="L1213" s="55">
        <v>17898090000</v>
      </c>
      <c r="M1213" s="55">
        <v>0</v>
      </c>
      <c r="N1213" s="55">
        <v>17898090000</v>
      </c>
      <c r="O1213" s="55">
        <v>6570914000</v>
      </c>
      <c r="P1213" s="55">
        <v>0</v>
      </c>
      <c r="Q1213" s="55">
        <v>6570914000</v>
      </c>
      <c r="R1213" s="55">
        <v>881706000</v>
      </c>
      <c r="S1213" s="55">
        <v>0</v>
      </c>
      <c r="T1213" s="55">
        <v>881706000</v>
      </c>
      <c r="U1213" s="55">
        <v>58604000</v>
      </c>
      <c r="V1213" s="55">
        <v>0</v>
      </c>
      <c r="W1213" s="55">
        <v>58604000</v>
      </c>
      <c r="X1213" s="55">
        <v>876000</v>
      </c>
      <c r="Y1213" s="55">
        <v>0</v>
      </c>
      <c r="Z1213" s="55">
        <v>876000</v>
      </c>
      <c r="AA1213" s="55">
        <v>1023734000</v>
      </c>
      <c r="AB1213" s="55">
        <v>0</v>
      </c>
      <c r="AC1213" s="55">
        <v>1023734000</v>
      </c>
      <c r="AD1213" s="55">
        <v>0</v>
      </c>
      <c r="AE1213" s="55">
        <v>0</v>
      </c>
      <c r="AF1213" s="55">
        <v>0</v>
      </c>
      <c r="AG1213" s="55">
        <v>0</v>
      </c>
      <c r="AH1213" s="55">
        <v>0</v>
      </c>
      <c r="AI1213" s="55">
        <v>0</v>
      </c>
      <c r="AJ1213" s="55">
        <v>5223443</v>
      </c>
      <c r="AK1213" s="55">
        <v>0</v>
      </c>
      <c r="AL1213" s="55">
        <v>44933</v>
      </c>
      <c r="AM1213" s="55">
        <v>746</v>
      </c>
      <c r="AN1213" s="55">
        <v>11962050</v>
      </c>
      <c r="AO1213" s="55">
        <v>2014200</v>
      </c>
      <c r="AQ1213" s="55">
        <v>49543544209800</v>
      </c>
      <c r="AR1213" s="55">
        <v>171537624080</v>
      </c>
      <c r="AS1213" s="55">
        <v>52424139000</v>
      </c>
      <c r="AT1213" s="55">
        <v>101355581000</v>
      </c>
      <c r="AU1213" s="55">
        <f t="shared" si="822"/>
        <v>32411843</v>
      </c>
      <c r="AV1213" s="99">
        <f t="shared" si="823"/>
        <v>47335421652.872406</v>
      </c>
    </row>
    <row r="1214" spans="1:48">
      <c r="A1214" s="92">
        <v>45454</v>
      </c>
      <c r="B1214" s="55">
        <v>156906179000</v>
      </c>
      <c r="C1214" s="55">
        <v>4086600450</v>
      </c>
      <c r="D1214" s="55">
        <v>0</v>
      </c>
      <c r="E1214" s="55">
        <v>0</v>
      </c>
      <c r="F1214" s="55">
        <v>160992779450</v>
      </c>
      <c r="G1214" s="55">
        <v>43468050</v>
      </c>
      <c r="H1214" s="55">
        <v>1503862000</v>
      </c>
      <c r="I1214" s="55">
        <v>0</v>
      </c>
      <c r="J1214" s="55">
        <v>1503862000</v>
      </c>
      <c r="L1214" s="55">
        <v>13440380000</v>
      </c>
      <c r="M1214" s="55">
        <v>12996400000</v>
      </c>
      <c r="N1214" s="55">
        <v>26436780000</v>
      </c>
      <c r="O1214" s="55">
        <v>5095328000</v>
      </c>
      <c r="P1214" s="55">
        <v>0</v>
      </c>
      <c r="Q1214" s="55">
        <v>5095328000</v>
      </c>
      <c r="R1214" s="55">
        <v>1067756000</v>
      </c>
      <c r="S1214" s="55">
        <v>0</v>
      </c>
      <c r="T1214" s="55">
        <v>1067756000</v>
      </c>
      <c r="U1214" s="55">
        <v>136102000</v>
      </c>
      <c r="V1214" s="55">
        <v>0</v>
      </c>
      <c r="W1214" s="55">
        <v>136102000</v>
      </c>
      <c r="X1214" s="55">
        <v>141385000</v>
      </c>
      <c r="Y1214" s="55">
        <v>0</v>
      </c>
      <c r="Z1214" s="55">
        <v>141385000</v>
      </c>
      <c r="AA1214" s="55">
        <v>499285000</v>
      </c>
      <c r="AB1214" s="55">
        <v>0</v>
      </c>
      <c r="AC1214" s="55">
        <v>499285000</v>
      </c>
      <c r="AD1214" s="55">
        <v>1241000</v>
      </c>
      <c r="AE1214" s="55">
        <v>0</v>
      </c>
      <c r="AF1214" s="55">
        <v>1241000</v>
      </c>
      <c r="AG1214" s="55">
        <v>0</v>
      </c>
      <c r="AH1214" s="55">
        <v>0</v>
      </c>
      <c r="AI1214" s="55">
        <v>0</v>
      </c>
      <c r="AJ1214" s="55">
        <v>4702969</v>
      </c>
      <c r="AK1214" s="55">
        <v>0</v>
      </c>
      <c r="AL1214" s="55">
        <v>44933</v>
      </c>
      <c r="AM1214" s="55">
        <v>1343</v>
      </c>
      <c r="AN1214" s="55">
        <v>11107800</v>
      </c>
      <c r="AO1214" s="55">
        <v>3626100</v>
      </c>
      <c r="AQ1214" s="55">
        <v>57504190582800</v>
      </c>
      <c r="AR1214" s="55">
        <v>254576705420</v>
      </c>
      <c r="AS1214" s="55">
        <v>48260447000</v>
      </c>
      <c r="AT1214" s="55">
        <v>209251998450</v>
      </c>
      <c r="AU1214" s="55">
        <f t="shared" si="822"/>
        <v>62904919</v>
      </c>
      <c r="AV1214" s="99">
        <f t="shared" si="823"/>
        <v>47398326571.872406</v>
      </c>
    </row>
    <row r="1215" spans="1:48">
      <c r="A1215" s="92">
        <v>45455</v>
      </c>
      <c r="B1215" s="55">
        <v>298674798000</v>
      </c>
      <c r="C1215" s="55">
        <v>0</v>
      </c>
      <c r="D1215" s="55">
        <v>0</v>
      </c>
      <c r="E1215" s="55">
        <v>0</v>
      </c>
      <c r="F1215" s="55">
        <v>298674798000</v>
      </c>
      <c r="G1215" s="55">
        <v>80642195</v>
      </c>
      <c r="H1215" s="55">
        <v>8241034000</v>
      </c>
      <c r="I1215" s="55">
        <v>0</v>
      </c>
      <c r="J1215" s="55">
        <v>8241034000</v>
      </c>
      <c r="L1215" s="55">
        <v>31704846000</v>
      </c>
      <c r="M1215" s="55">
        <v>6623600000</v>
      </c>
      <c r="N1215" s="55">
        <v>38328446000</v>
      </c>
      <c r="O1215" s="55">
        <v>14395400000</v>
      </c>
      <c r="P1215" s="55">
        <v>0</v>
      </c>
      <c r="Q1215" s="55">
        <v>14395400000</v>
      </c>
      <c r="R1215" s="55">
        <v>2683574000</v>
      </c>
      <c r="S1215" s="55">
        <v>0</v>
      </c>
      <c r="T1215" s="55">
        <v>2683574000</v>
      </c>
      <c r="U1215" s="55">
        <v>382631000</v>
      </c>
      <c r="V1215" s="55">
        <v>0</v>
      </c>
      <c r="W1215" s="55">
        <v>382631000</v>
      </c>
      <c r="X1215" s="55">
        <v>975318000</v>
      </c>
      <c r="Y1215" s="55">
        <v>0</v>
      </c>
      <c r="Z1215" s="55">
        <v>975318000</v>
      </c>
      <c r="AA1215" s="55">
        <v>868524000</v>
      </c>
      <c r="AB1215" s="55">
        <v>0</v>
      </c>
      <c r="AC1215" s="55">
        <v>868524000</v>
      </c>
      <c r="AD1215" s="55">
        <v>3762000</v>
      </c>
      <c r="AE1215" s="55">
        <v>0</v>
      </c>
      <c r="AF1215" s="55">
        <v>3762000</v>
      </c>
      <c r="AG1215" s="55">
        <v>0</v>
      </c>
      <c r="AH1215" s="55">
        <v>0</v>
      </c>
      <c r="AI1215" s="55">
        <v>0</v>
      </c>
      <c r="AJ1215" s="55">
        <v>7591798</v>
      </c>
      <c r="AK1215" s="55">
        <v>0</v>
      </c>
      <c r="AL1215" s="55">
        <v>44933</v>
      </c>
      <c r="AM1215" s="55">
        <v>2653</v>
      </c>
      <c r="AN1215" s="55">
        <v>10916550</v>
      </c>
      <c r="AO1215" s="55">
        <v>7163100</v>
      </c>
      <c r="AQ1215" s="55">
        <v>52742001669200</v>
      </c>
      <c r="AR1215" s="55">
        <v>259052022880</v>
      </c>
      <c r="AS1215" s="55">
        <v>73150296000</v>
      </c>
      <c r="AT1215" s="55">
        <v>371790878000</v>
      </c>
      <c r="AU1215" s="55">
        <f t="shared" si="822"/>
        <v>106313643</v>
      </c>
      <c r="AV1215" s="99">
        <f t="shared" si="823"/>
        <v>47504640214.872406</v>
      </c>
    </row>
    <row r="1216" spans="1:48">
      <c r="A1216" s="92">
        <v>45456</v>
      </c>
      <c r="B1216" s="55">
        <v>68324695000.049988</v>
      </c>
      <c r="C1216" s="55">
        <v>0</v>
      </c>
      <c r="D1216" s="55">
        <v>0</v>
      </c>
      <c r="E1216" s="55">
        <v>0</v>
      </c>
      <c r="F1216" s="55">
        <v>68324695000.049988</v>
      </c>
      <c r="G1216" s="55">
        <v>18447668</v>
      </c>
      <c r="H1216" s="55">
        <v>12925080000</v>
      </c>
      <c r="I1216" s="55">
        <v>9278100000</v>
      </c>
      <c r="J1216" s="55">
        <v>22203180000</v>
      </c>
      <c r="L1216" s="55">
        <v>33904193000</v>
      </c>
      <c r="M1216" s="55">
        <v>9997200000</v>
      </c>
      <c r="N1216" s="55">
        <v>43901393000</v>
      </c>
      <c r="O1216" s="55">
        <v>18452059000</v>
      </c>
      <c r="P1216" s="55">
        <v>2596800000</v>
      </c>
      <c r="Q1216" s="55">
        <v>21048859000</v>
      </c>
      <c r="R1216" s="55">
        <v>290554000</v>
      </c>
      <c r="S1216" s="55">
        <v>0</v>
      </c>
      <c r="T1216" s="55">
        <v>290554000</v>
      </c>
      <c r="U1216" s="55">
        <v>741508000</v>
      </c>
      <c r="V1216" s="55">
        <v>0</v>
      </c>
      <c r="W1216" s="55">
        <v>741508000</v>
      </c>
      <c r="X1216" s="55">
        <v>480390000</v>
      </c>
      <c r="Y1216" s="55">
        <v>0</v>
      </c>
      <c r="Z1216" s="55">
        <v>480390000</v>
      </c>
      <c r="AA1216" s="55">
        <v>414486000</v>
      </c>
      <c r="AB1216" s="55">
        <v>0</v>
      </c>
      <c r="AC1216" s="55">
        <v>414486000</v>
      </c>
      <c r="AD1216" s="55">
        <v>1269000</v>
      </c>
      <c r="AE1216" s="55">
        <v>0</v>
      </c>
      <c r="AF1216" s="55">
        <v>1269000</v>
      </c>
      <c r="AG1216" s="55">
        <v>0</v>
      </c>
      <c r="AH1216" s="55">
        <v>0</v>
      </c>
      <c r="AI1216" s="55">
        <v>0</v>
      </c>
      <c r="AJ1216" s="55">
        <v>11195608</v>
      </c>
      <c r="AK1216" s="55">
        <v>0</v>
      </c>
      <c r="AL1216" s="55">
        <v>44933</v>
      </c>
      <c r="AM1216" s="55">
        <v>1108</v>
      </c>
      <c r="AN1216" s="55">
        <v>10819650</v>
      </c>
      <c r="AO1216" s="55">
        <v>2991600</v>
      </c>
      <c r="AQ1216" s="55">
        <v>51557555978000</v>
      </c>
      <c r="AR1216" s="55">
        <v>230125071180</v>
      </c>
      <c r="AS1216" s="55">
        <v>111671939000</v>
      </c>
      <c r="AT1216" s="55">
        <v>185294156500.04999</v>
      </c>
      <c r="AU1216" s="55">
        <f t="shared" si="822"/>
        <v>43454526</v>
      </c>
      <c r="AV1216" s="99">
        <f t="shared" si="823"/>
        <v>47548094740.872406</v>
      </c>
    </row>
    <row r="1217" spans="1:48">
      <c r="A1217" s="92">
        <v>45457</v>
      </c>
      <c r="B1217" s="55">
        <v>98555431000</v>
      </c>
      <c r="C1217" s="55">
        <v>0</v>
      </c>
      <c r="D1217" s="55">
        <v>0</v>
      </c>
      <c r="E1217" s="55">
        <v>0</v>
      </c>
      <c r="F1217" s="55">
        <v>98555431000</v>
      </c>
      <c r="G1217" s="55">
        <v>26609966</v>
      </c>
      <c r="H1217" s="55">
        <v>13939997000</v>
      </c>
      <c r="I1217" s="55">
        <v>16243500000</v>
      </c>
      <c r="J1217" s="55">
        <v>30183497000</v>
      </c>
      <c r="L1217" s="55">
        <v>19025133000</v>
      </c>
      <c r="M1217" s="55">
        <v>0</v>
      </c>
      <c r="N1217" s="55">
        <v>19025133000</v>
      </c>
      <c r="O1217" s="55">
        <v>31781111000</v>
      </c>
      <c r="P1217" s="55">
        <v>0</v>
      </c>
      <c r="Q1217" s="55">
        <v>31781111000</v>
      </c>
      <c r="R1217" s="55">
        <v>460846000</v>
      </c>
      <c r="S1217" s="55">
        <v>0</v>
      </c>
      <c r="T1217" s="55">
        <v>460846000</v>
      </c>
      <c r="U1217" s="55">
        <v>562044000</v>
      </c>
      <c r="V1217" s="55">
        <v>0</v>
      </c>
      <c r="W1217" s="55">
        <v>562044000</v>
      </c>
      <c r="X1217" s="55">
        <v>223955000</v>
      </c>
      <c r="Y1217" s="55">
        <v>0</v>
      </c>
      <c r="Z1217" s="55">
        <v>223955000</v>
      </c>
      <c r="AA1217" s="55">
        <v>17630000</v>
      </c>
      <c r="AB1217" s="55">
        <v>0</v>
      </c>
      <c r="AC1217" s="55">
        <v>17630000</v>
      </c>
      <c r="AD1217" s="55">
        <v>1253000</v>
      </c>
      <c r="AE1217" s="55">
        <v>0</v>
      </c>
      <c r="AF1217" s="55">
        <v>1253000</v>
      </c>
      <c r="AG1217" s="55">
        <v>0</v>
      </c>
      <c r="AH1217" s="55">
        <v>0</v>
      </c>
      <c r="AI1217" s="55">
        <v>0</v>
      </c>
      <c r="AJ1217" s="55">
        <v>10053123</v>
      </c>
      <c r="AK1217" s="55">
        <v>0</v>
      </c>
      <c r="AL1217" s="55">
        <v>44933</v>
      </c>
      <c r="AM1217" s="55">
        <v>1520</v>
      </c>
      <c r="AN1217" s="55">
        <v>30286350</v>
      </c>
      <c r="AO1217" s="55">
        <v>4104000</v>
      </c>
      <c r="AQ1217" s="55">
        <v>66264331172000</v>
      </c>
      <c r="AR1217" s="55">
        <v>267334197660</v>
      </c>
      <c r="AS1217" s="55">
        <v>98805571000</v>
      </c>
      <c r="AT1217" s="55">
        <v>197359767000</v>
      </c>
      <c r="AU1217" s="55">
        <f t="shared" ref="AU1217:AU1221" si="824">G1217+AJ1217+AK1217+AN1217+AO1217+AP1217</f>
        <v>71053439</v>
      </c>
      <c r="AV1217" s="99">
        <f t="shared" ref="AV1217:AV1221" si="825">AV1216+AU1217</f>
        <v>47619148179.872406</v>
      </c>
    </row>
    <row r="1218" spans="1:48">
      <c r="A1218" s="92">
        <v>45460</v>
      </c>
      <c r="B1218" s="55">
        <v>128954649000</v>
      </c>
      <c r="C1218" s="55">
        <v>0</v>
      </c>
      <c r="D1218" s="55">
        <v>0</v>
      </c>
      <c r="E1218" s="55">
        <v>0</v>
      </c>
      <c r="F1218" s="55">
        <v>128954649000</v>
      </c>
      <c r="G1218" s="55">
        <v>34817755</v>
      </c>
      <c r="H1218" s="55">
        <v>4165482000</v>
      </c>
      <c r="I1218" s="55">
        <v>18261400000</v>
      </c>
      <c r="J1218" s="55">
        <v>22426882000</v>
      </c>
      <c r="L1218" s="55">
        <v>50977107000</v>
      </c>
      <c r="M1218" s="55">
        <v>71645900000</v>
      </c>
      <c r="N1218" s="55">
        <v>122623007000</v>
      </c>
      <c r="O1218" s="55">
        <v>10095094000</v>
      </c>
      <c r="P1218" s="55">
        <v>0</v>
      </c>
      <c r="Q1218" s="55">
        <v>10095094000</v>
      </c>
      <c r="R1218" s="55">
        <v>1630294000</v>
      </c>
      <c r="S1218" s="55">
        <v>0</v>
      </c>
      <c r="T1218" s="55">
        <v>1630294000</v>
      </c>
      <c r="U1218" s="55">
        <v>751796000</v>
      </c>
      <c r="V1218" s="55">
        <v>0</v>
      </c>
      <c r="W1218" s="55">
        <v>751796000</v>
      </c>
      <c r="X1218" s="55">
        <v>224743000</v>
      </c>
      <c r="Y1218" s="55">
        <v>0</v>
      </c>
      <c r="Z1218" s="55">
        <v>224743000</v>
      </c>
      <c r="AA1218" s="55">
        <v>256090000</v>
      </c>
      <c r="AB1218" s="55">
        <v>0</v>
      </c>
      <c r="AC1218" s="55">
        <v>256090000</v>
      </c>
      <c r="AD1218" s="55">
        <v>9941000</v>
      </c>
      <c r="AE1218" s="55">
        <v>0</v>
      </c>
      <c r="AF1218" s="55">
        <v>9941000</v>
      </c>
      <c r="AG1218" s="55">
        <v>0</v>
      </c>
      <c r="AH1218" s="55">
        <v>0</v>
      </c>
      <c r="AI1218" s="55">
        <v>0</v>
      </c>
      <c r="AJ1218" s="55">
        <v>23539253</v>
      </c>
      <c r="AK1218" s="55">
        <v>0</v>
      </c>
      <c r="AL1218" s="55">
        <v>44933</v>
      </c>
      <c r="AM1218" s="55">
        <v>2624</v>
      </c>
      <c r="AN1218" s="55">
        <v>10309650</v>
      </c>
      <c r="AO1218" s="55">
        <v>7084800</v>
      </c>
      <c r="AQ1218" s="55">
        <v>51045785890800</v>
      </c>
      <c r="AR1218" s="55">
        <v>354341954460</v>
      </c>
      <c r="AS1218" s="55">
        <v>248437362000</v>
      </c>
      <c r="AT1218" s="55">
        <v>377392011000</v>
      </c>
      <c r="AU1218" s="55">
        <f t="shared" si="824"/>
        <v>75751458</v>
      </c>
      <c r="AV1218" s="99">
        <f t="shared" si="825"/>
        <v>47694899637.872406</v>
      </c>
    </row>
    <row r="1219" spans="1:48">
      <c r="A1219" s="92">
        <v>45461</v>
      </c>
      <c r="B1219" s="55">
        <v>39653402000</v>
      </c>
      <c r="C1219" s="55">
        <v>0</v>
      </c>
      <c r="D1219" s="55">
        <v>0</v>
      </c>
      <c r="E1219" s="55">
        <v>0</v>
      </c>
      <c r="F1219" s="55">
        <v>39653402000</v>
      </c>
      <c r="G1219" s="55">
        <v>10706419</v>
      </c>
      <c r="H1219" s="55">
        <v>2803245000</v>
      </c>
      <c r="I1219" s="55">
        <v>9166000000</v>
      </c>
      <c r="J1219" s="55">
        <v>11969245000</v>
      </c>
      <c r="L1219" s="55">
        <v>33434388000</v>
      </c>
      <c r="M1219" s="55">
        <v>6535000000</v>
      </c>
      <c r="N1219" s="55">
        <v>39969388000</v>
      </c>
      <c r="O1219" s="55">
        <v>2216882000</v>
      </c>
      <c r="P1219" s="55">
        <v>0</v>
      </c>
      <c r="Q1219" s="55">
        <v>2216882000</v>
      </c>
      <c r="R1219" s="55">
        <v>1659939000</v>
      </c>
      <c r="S1219" s="55">
        <v>0</v>
      </c>
      <c r="T1219" s="55">
        <v>1659939000</v>
      </c>
      <c r="U1219" s="55">
        <v>286725000</v>
      </c>
      <c r="V1219" s="55">
        <v>0</v>
      </c>
      <c r="W1219" s="55">
        <v>286725000</v>
      </c>
      <c r="X1219" s="55">
        <v>274175000</v>
      </c>
      <c r="Y1219" s="55">
        <v>7018000000</v>
      </c>
      <c r="Z1219" s="55">
        <v>7292175000</v>
      </c>
      <c r="AA1219" s="55">
        <v>443597000</v>
      </c>
      <c r="AB1219" s="55">
        <v>0</v>
      </c>
      <c r="AC1219" s="55">
        <v>443597000</v>
      </c>
      <c r="AD1219" s="55">
        <v>0</v>
      </c>
      <c r="AE1219" s="55">
        <v>0</v>
      </c>
      <c r="AF1219" s="55">
        <v>0</v>
      </c>
      <c r="AG1219" s="55">
        <v>0</v>
      </c>
      <c r="AH1219" s="55">
        <v>0</v>
      </c>
      <c r="AI1219" s="55">
        <v>0</v>
      </c>
      <c r="AJ1219" s="55">
        <v>8530267</v>
      </c>
      <c r="AK1219" s="55">
        <v>0</v>
      </c>
      <c r="AL1219" s="55">
        <v>44933</v>
      </c>
      <c r="AM1219" s="55">
        <v>2292</v>
      </c>
      <c r="AN1219" s="55">
        <v>10610550</v>
      </c>
      <c r="AO1219" s="55">
        <v>6188400</v>
      </c>
      <c r="AQ1219" s="55">
        <v>50126598022400</v>
      </c>
      <c r="AR1219" s="55">
        <v>144567844440</v>
      </c>
      <c r="AS1219" s="55">
        <v>86768768000</v>
      </c>
      <c r="AT1219" s="55">
        <v>126420940000</v>
      </c>
      <c r="AU1219" s="55">
        <f t="shared" si="824"/>
        <v>36035636</v>
      </c>
      <c r="AV1219" s="99">
        <f t="shared" si="825"/>
        <v>47730935273.872406</v>
      </c>
    </row>
    <row r="1220" spans="1:48">
      <c r="A1220" s="92">
        <v>45462</v>
      </c>
      <c r="B1220" s="55">
        <v>106912755000</v>
      </c>
      <c r="C1220" s="55">
        <v>0</v>
      </c>
      <c r="D1220" s="55">
        <v>0</v>
      </c>
      <c r="E1220" s="55">
        <v>0</v>
      </c>
      <c r="F1220" s="55">
        <v>106912755000</v>
      </c>
      <c r="G1220" s="55">
        <v>28866444</v>
      </c>
      <c r="H1220" s="55">
        <v>21907732000</v>
      </c>
      <c r="I1220" s="55">
        <v>47649000000</v>
      </c>
      <c r="J1220" s="55">
        <v>69556732000</v>
      </c>
      <c r="L1220" s="55">
        <v>30639386000</v>
      </c>
      <c r="M1220" s="55">
        <v>0</v>
      </c>
      <c r="N1220" s="55">
        <v>30639386000</v>
      </c>
      <c r="O1220" s="55">
        <v>18868470000</v>
      </c>
      <c r="P1220" s="55">
        <v>0</v>
      </c>
      <c r="Q1220" s="55">
        <v>18868470000</v>
      </c>
      <c r="R1220" s="55">
        <v>2316446000</v>
      </c>
      <c r="S1220" s="55">
        <v>0</v>
      </c>
      <c r="T1220" s="55">
        <v>2316446000</v>
      </c>
      <c r="U1220" s="55">
        <v>215472000</v>
      </c>
      <c r="V1220" s="55">
        <v>0</v>
      </c>
      <c r="W1220" s="55">
        <v>215472000</v>
      </c>
      <c r="X1220" s="55">
        <v>256950000</v>
      </c>
      <c r="Y1220" s="55">
        <v>0</v>
      </c>
      <c r="Z1220" s="55">
        <v>256950000</v>
      </c>
      <c r="AA1220" s="55">
        <v>436025000</v>
      </c>
      <c r="AB1220" s="55">
        <v>0</v>
      </c>
      <c r="AC1220" s="55">
        <v>436025000</v>
      </c>
      <c r="AD1220" s="55">
        <v>0</v>
      </c>
      <c r="AE1220" s="55">
        <v>0</v>
      </c>
      <c r="AF1220" s="55">
        <v>0</v>
      </c>
      <c r="AG1220" s="55">
        <v>0</v>
      </c>
      <c r="AH1220" s="55">
        <v>0</v>
      </c>
      <c r="AI1220" s="55">
        <v>0</v>
      </c>
      <c r="AJ1220" s="55">
        <v>16637992</v>
      </c>
      <c r="AK1220" s="55">
        <v>0</v>
      </c>
      <c r="AL1220" s="55">
        <v>44933</v>
      </c>
      <c r="AM1220" s="55">
        <v>2667</v>
      </c>
      <c r="AN1220" s="55">
        <v>11913600</v>
      </c>
      <c r="AO1220" s="55">
        <v>7200900</v>
      </c>
      <c r="AQ1220" s="55">
        <v>57107867946600</v>
      </c>
      <c r="AR1220" s="55">
        <v>438754102120</v>
      </c>
      <c r="AS1220" s="55">
        <v>170415944000</v>
      </c>
      <c r="AT1220" s="55">
        <v>277321367000</v>
      </c>
      <c r="AU1220" s="55">
        <f t="shared" si="824"/>
        <v>64618936</v>
      </c>
      <c r="AV1220" s="99">
        <f t="shared" si="825"/>
        <v>47795554209.872406</v>
      </c>
    </row>
    <row r="1221" spans="1:48">
      <c r="A1221" s="92">
        <v>45463</v>
      </c>
      <c r="B1221" s="55">
        <v>99676485000.02002</v>
      </c>
      <c r="C1221" s="55">
        <v>8717690000</v>
      </c>
      <c r="D1221" s="55">
        <v>0</v>
      </c>
      <c r="E1221" s="55">
        <v>2477265000</v>
      </c>
      <c r="F1221" s="55">
        <v>110871440000.02002</v>
      </c>
      <c r="G1221" s="55">
        <v>29935289</v>
      </c>
      <c r="H1221" s="55">
        <v>20155186000</v>
      </c>
      <c r="I1221" s="55">
        <v>4604600000</v>
      </c>
      <c r="J1221" s="55">
        <v>24759786000</v>
      </c>
      <c r="L1221" s="55">
        <v>57391609000</v>
      </c>
      <c r="M1221" s="55">
        <v>0</v>
      </c>
      <c r="N1221" s="55">
        <v>57391609000</v>
      </c>
      <c r="O1221" s="55">
        <v>18056533000</v>
      </c>
      <c r="P1221" s="55">
        <v>0</v>
      </c>
      <c r="Q1221" s="55">
        <v>18056533000</v>
      </c>
      <c r="R1221" s="55">
        <v>909077000</v>
      </c>
      <c r="S1221" s="55">
        <v>0</v>
      </c>
      <c r="T1221" s="55">
        <v>909077000</v>
      </c>
      <c r="U1221" s="55">
        <v>688112000</v>
      </c>
      <c r="V1221" s="55">
        <v>0</v>
      </c>
      <c r="W1221" s="55">
        <v>688112000</v>
      </c>
      <c r="X1221" s="55">
        <v>36885000</v>
      </c>
      <c r="Y1221" s="55">
        <v>95941800000</v>
      </c>
      <c r="Z1221" s="55">
        <v>95978685000</v>
      </c>
      <c r="AA1221" s="55">
        <v>402286000</v>
      </c>
      <c r="AB1221" s="55">
        <v>0</v>
      </c>
      <c r="AC1221" s="55">
        <v>402286000</v>
      </c>
      <c r="AD1221" s="55">
        <v>1247000</v>
      </c>
      <c r="AE1221" s="55">
        <v>0</v>
      </c>
      <c r="AF1221" s="55">
        <v>1247000</v>
      </c>
      <c r="AG1221" s="55">
        <v>0</v>
      </c>
      <c r="AH1221" s="55">
        <v>0</v>
      </c>
      <c r="AI1221" s="55">
        <v>0</v>
      </c>
      <c r="AJ1221" s="55">
        <v>28643573</v>
      </c>
      <c r="AK1221" s="55">
        <v>0</v>
      </c>
      <c r="AL1221" s="55">
        <v>44933</v>
      </c>
      <c r="AM1221" s="55">
        <v>2766</v>
      </c>
      <c r="AN1221" s="55">
        <v>12403200</v>
      </c>
      <c r="AO1221" s="55">
        <v>7468200</v>
      </c>
      <c r="AQ1221" s="55">
        <v>53247308247600</v>
      </c>
      <c r="AR1221" s="55">
        <v>540106826920</v>
      </c>
      <c r="AS1221" s="55">
        <v>298819117000</v>
      </c>
      <c r="AT1221" s="55">
        <v>409686798000.02002</v>
      </c>
      <c r="AU1221" s="55">
        <f t="shared" si="824"/>
        <v>78450262</v>
      </c>
      <c r="AV1221" s="99">
        <f t="shared" si="825"/>
        <v>47874004471.872406</v>
      </c>
    </row>
    <row r="1222" spans="1:48">
      <c r="A1222" s="92">
        <v>45464</v>
      </c>
      <c r="B1222" s="55">
        <v>104594571000</v>
      </c>
      <c r="C1222" s="55">
        <v>0</v>
      </c>
      <c r="D1222" s="55">
        <v>0</v>
      </c>
      <c r="E1222" s="55">
        <v>0</v>
      </c>
      <c r="F1222" s="55">
        <v>104594571000</v>
      </c>
      <c r="G1222" s="55">
        <v>28240534</v>
      </c>
      <c r="H1222" s="55">
        <v>324302000</v>
      </c>
      <c r="I1222" s="55">
        <v>0</v>
      </c>
      <c r="J1222" s="55">
        <v>324302000</v>
      </c>
      <c r="L1222" s="55">
        <v>15199629000</v>
      </c>
      <c r="M1222" s="55">
        <v>0</v>
      </c>
      <c r="N1222" s="55">
        <v>15199629000</v>
      </c>
      <c r="O1222" s="55">
        <v>8551808000</v>
      </c>
      <c r="P1222" s="55">
        <v>0</v>
      </c>
      <c r="Q1222" s="55">
        <v>8551808000</v>
      </c>
      <c r="R1222" s="55">
        <v>1197113000</v>
      </c>
      <c r="S1222" s="55">
        <v>0</v>
      </c>
      <c r="T1222" s="55">
        <v>1197113000</v>
      </c>
      <c r="U1222" s="55">
        <v>144110000</v>
      </c>
      <c r="V1222" s="55">
        <v>0</v>
      </c>
      <c r="W1222" s="55">
        <v>144110000</v>
      </c>
      <c r="X1222" s="55">
        <v>881000</v>
      </c>
      <c r="Y1222" s="55">
        <v>0</v>
      </c>
      <c r="Z1222" s="55">
        <v>881000</v>
      </c>
      <c r="AA1222" s="55">
        <v>119937000</v>
      </c>
      <c r="AB1222" s="55">
        <v>0</v>
      </c>
      <c r="AC1222" s="55">
        <v>119937000</v>
      </c>
      <c r="AD1222" s="55">
        <v>0</v>
      </c>
      <c r="AE1222" s="55">
        <v>0</v>
      </c>
      <c r="AF1222" s="55">
        <v>0</v>
      </c>
      <c r="AG1222" s="55">
        <v>0</v>
      </c>
      <c r="AH1222" s="55">
        <v>0</v>
      </c>
      <c r="AI1222" s="55">
        <v>0</v>
      </c>
      <c r="AJ1222" s="55">
        <v>2758080</v>
      </c>
      <c r="AK1222" s="55">
        <v>0</v>
      </c>
      <c r="AL1222" s="55">
        <v>44933</v>
      </c>
      <c r="AM1222" s="55">
        <v>1169</v>
      </c>
      <c r="AN1222" s="55">
        <v>31097250</v>
      </c>
      <c r="AO1222" s="55">
        <v>3156300</v>
      </c>
      <c r="AQ1222" s="55">
        <v>50016081109800</v>
      </c>
      <c r="AR1222" s="55">
        <v>161218754780</v>
      </c>
      <c r="AS1222" s="55">
        <v>25772589000</v>
      </c>
      <c r="AT1222" s="55">
        <v>130367160000</v>
      </c>
      <c r="AU1222" s="55">
        <f t="shared" ref="AU1222:AU1227" si="826">G1222+AJ1222+AK1222+AN1222+AO1222+AP1222</f>
        <v>65252164</v>
      </c>
      <c r="AV1222" s="99">
        <f t="shared" ref="AV1222:AV1227" si="827">AV1221+AU1222</f>
        <v>47939256635.872406</v>
      </c>
    </row>
    <row r="1223" spans="1:48">
      <c r="A1223" s="92">
        <v>45467</v>
      </c>
      <c r="B1223" s="55">
        <v>267248595000</v>
      </c>
      <c r="C1223" s="55">
        <v>0</v>
      </c>
      <c r="D1223" s="55">
        <v>0</v>
      </c>
      <c r="E1223" s="55">
        <v>6157545000</v>
      </c>
      <c r="F1223" s="55">
        <v>273406140000</v>
      </c>
      <c r="G1223" s="55">
        <v>73819658</v>
      </c>
      <c r="H1223" s="55">
        <v>11507352000</v>
      </c>
      <c r="I1223" s="55">
        <v>72424400000</v>
      </c>
      <c r="J1223" s="55">
        <v>83931752000</v>
      </c>
      <c r="L1223" s="55">
        <v>36005128000</v>
      </c>
      <c r="M1223" s="55">
        <v>6494500000</v>
      </c>
      <c r="N1223" s="55">
        <v>42499628000</v>
      </c>
      <c r="O1223" s="55">
        <v>14334383000</v>
      </c>
      <c r="P1223" s="55">
        <v>0</v>
      </c>
      <c r="Q1223" s="55">
        <v>14334383000</v>
      </c>
      <c r="R1223" s="55">
        <v>3085262000</v>
      </c>
      <c r="S1223" s="55">
        <v>0</v>
      </c>
      <c r="T1223" s="55">
        <v>3085262000</v>
      </c>
      <c r="U1223" s="55">
        <v>521698000</v>
      </c>
      <c r="V1223" s="55">
        <v>0</v>
      </c>
      <c r="W1223" s="55">
        <v>521698000</v>
      </c>
      <c r="X1223" s="55">
        <v>142152000</v>
      </c>
      <c r="Y1223" s="55">
        <v>26085000000</v>
      </c>
      <c r="Z1223" s="55">
        <v>26227152000</v>
      </c>
      <c r="AA1223" s="55">
        <v>2048377000</v>
      </c>
      <c r="AB1223" s="55">
        <v>0</v>
      </c>
      <c r="AC1223" s="55">
        <v>2048377000</v>
      </c>
      <c r="AD1223" s="55">
        <v>3640000</v>
      </c>
      <c r="AE1223" s="55">
        <v>0</v>
      </c>
      <c r="AF1223" s="55">
        <v>3640000</v>
      </c>
      <c r="AG1223" s="55">
        <v>0</v>
      </c>
      <c r="AH1223" s="55">
        <v>0</v>
      </c>
      <c r="AI1223" s="55">
        <v>0</v>
      </c>
      <c r="AJ1223" s="55">
        <v>26206685</v>
      </c>
      <c r="AK1223" s="55">
        <v>0</v>
      </c>
      <c r="AL1223" s="55">
        <v>44933</v>
      </c>
      <c r="AM1223" s="55">
        <v>2014</v>
      </c>
      <c r="AN1223" s="55">
        <v>13231950</v>
      </c>
      <c r="AO1223" s="55">
        <v>5437800</v>
      </c>
      <c r="AQ1223" s="55">
        <v>72545741873400</v>
      </c>
      <c r="AR1223" s="55">
        <v>438255490460</v>
      </c>
      <c r="AS1223" s="55">
        <v>279010769000</v>
      </c>
      <c r="AT1223" s="55">
        <v>552306659000</v>
      </c>
      <c r="AU1223" s="55">
        <f t="shared" si="826"/>
        <v>118696093</v>
      </c>
      <c r="AV1223" s="99">
        <f t="shared" si="827"/>
        <v>48057952728.872406</v>
      </c>
    </row>
    <row r="1224" spans="1:48">
      <c r="A1224" s="92">
        <v>45468</v>
      </c>
      <c r="B1224" s="55">
        <v>127262125000</v>
      </c>
      <c r="C1224" s="55">
        <v>0</v>
      </c>
      <c r="D1224" s="55">
        <v>0</v>
      </c>
      <c r="E1224" s="55">
        <v>0</v>
      </c>
      <c r="F1224" s="55">
        <v>127262125000</v>
      </c>
      <c r="G1224" s="55">
        <v>34360774</v>
      </c>
      <c r="H1224" s="55">
        <v>8548688000</v>
      </c>
      <c r="I1224" s="55">
        <v>69527600000</v>
      </c>
      <c r="J1224" s="55">
        <v>78076288000</v>
      </c>
      <c r="L1224" s="55">
        <v>44426193000</v>
      </c>
      <c r="M1224" s="55">
        <v>6463900000</v>
      </c>
      <c r="N1224" s="55">
        <v>50890093000</v>
      </c>
      <c r="O1224" s="55">
        <v>7968960000</v>
      </c>
      <c r="P1224" s="55">
        <v>0</v>
      </c>
      <c r="Q1224" s="55">
        <v>7968960000</v>
      </c>
      <c r="R1224" s="55">
        <v>3514632000</v>
      </c>
      <c r="S1224" s="55">
        <v>0</v>
      </c>
      <c r="T1224" s="55">
        <v>3514632000</v>
      </c>
      <c r="U1224" s="55">
        <v>365510000</v>
      </c>
      <c r="V1224" s="55">
        <v>0</v>
      </c>
      <c r="W1224" s="55">
        <v>365510000</v>
      </c>
      <c r="X1224" s="55">
        <v>0</v>
      </c>
      <c r="Y1224" s="55">
        <v>0</v>
      </c>
      <c r="Z1224" s="55">
        <v>0</v>
      </c>
      <c r="AA1224" s="55">
        <v>90365000</v>
      </c>
      <c r="AB1224" s="55">
        <v>0</v>
      </c>
      <c r="AC1224" s="55">
        <v>90365000</v>
      </c>
      <c r="AD1224" s="55">
        <v>0</v>
      </c>
      <c r="AE1224" s="55">
        <v>0</v>
      </c>
      <c r="AF1224" s="55">
        <v>0</v>
      </c>
      <c r="AG1224" s="55">
        <v>0</v>
      </c>
      <c r="AH1224" s="55">
        <v>0</v>
      </c>
      <c r="AI1224" s="55">
        <v>0</v>
      </c>
      <c r="AJ1224" s="55">
        <v>20689220</v>
      </c>
      <c r="AK1224" s="55">
        <v>0</v>
      </c>
      <c r="AL1224" s="55">
        <v>44933</v>
      </c>
      <c r="AM1224" s="55">
        <v>1353</v>
      </c>
      <c r="AN1224" s="55">
        <v>12234900</v>
      </c>
      <c r="AO1224" s="55">
        <v>3653100</v>
      </c>
      <c r="AQ1224" s="55">
        <v>47620984350200</v>
      </c>
      <c r="AR1224" s="55">
        <v>1508052740120</v>
      </c>
      <c r="AS1224" s="55">
        <v>217370369000</v>
      </c>
      <c r="AT1224" s="55">
        <v>344632494000</v>
      </c>
      <c r="AU1224" s="55">
        <f t="shared" si="826"/>
        <v>70937994</v>
      </c>
      <c r="AV1224" s="99">
        <f t="shared" si="827"/>
        <v>48128890722.872406</v>
      </c>
    </row>
    <row r="1225" spans="1:48">
      <c r="A1225" s="92">
        <v>45469</v>
      </c>
      <c r="B1225" s="55">
        <v>105135720000</v>
      </c>
      <c r="C1225" s="55">
        <v>22927485000</v>
      </c>
      <c r="D1225" s="55">
        <v>0</v>
      </c>
      <c r="E1225" s="55">
        <v>1804800000</v>
      </c>
      <c r="F1225" s="55">
        <v>129868005000</v>
      </c>
      <c r="G1225" s="55">
        <v>35064361</v>
      </c>
      <c r="H1225" s="55">
        <v>228025000</v>
      </c>
      <c r="I1225" s="55">
        <v>11217400000</v>
      </c>
      <c r="J1225" s="55">
        <v>11445425000</v>
      </c>
      <c r="L1225" s="55">
        <v>137738364000</v>
      </c>
      <c r="M1225" s="55">
        <v>25841600000</v>
      </c>
      <c r="N1225" s="55">
        <v>163579964000</v>
      </c>
      <c r="O1225" s="55">
        <v>7391050000</v>
      </c>
      <c r="P1225" s="55">
        <v>0</v>
      </c>
      <c r="Q1225" s="55">
        <v>7391050000</v>
      </c>
      <c r="R1225" s="55">
        <v>2027191000</v>
      </c>
      <c r="S1225" s="55">
        <v>0</v>
      </c>
      <c r="T1225" s="55">
        <v>2027191000</v>
      </c>
      <c r="U1225" s="55">
        <v>129757000</v>
      </c>
      <c r="V1225" s="55">
        <v>0</v>
      </c>
      <c r="W1225" s="55">
        <v>129757000</v>
      </c>
      <c r="X1225" s="55">
        <v>283790000</v>
      </c>
      <c r="Y1225" s="55">
        <v>0</v>
      </c>
      <c r="Z1225" s="55">
        <v>283790000</v>
      </c>
      <c r="AA1225" s="55">
        <v>22911000</v>
      </c>
      <c r="AB1225" s="55">
        <v>0</v>
      </c>
      <c r="AC1225" s="55">
        <v>22911000</v>
      </c>
      <c r="AD1225" s="55">
        <v>4868000</v>
      </c>
      <c r="AE1225" s="55">
        <v>0</v>
      </c>
      <c r="AF1225" s="55">
        <v>4868000</v>
      </c>
      <c r="AG1225" s="55">
        <v>0</v>
      </c>
      <c r="AH1225" s="55">
        <v>0</v>
      </c>
      <c r="AI1225" s="55">
        <v>0</v>
      </c>
      <c r="AJ1225" s="55">
        <v>22635823</v>
      </c>
      <c r="AK1225" s="55">
        <v>0</v>
      </c>
      <c r="AL1225" s="55">
        <v>44933</v>
      </c>
      <c r="AM1225" s="55">
        <v>2090</v>
      </c>
      <c r="AN1225" s="55">
        <v>14473800</v>
      </c>
      <c r="AO1225" s="55">
        <v>5643000</v>
      </c>
      <c r="AQ1225" s="55">
        <v>46092232278400</v>
      </c>
      <c r="AR1225" s="55">
        <v>753248761520</v>
      </c>
      <c r="AS1225" s="55">
        <v>222346962000</v>
      </c>
      <c r="AT1225" s="55">
        <v>352094667000</v>
      </c>
      <c r="AU1225" s="55">
        <f t="shared" si="826"/>
        <v>77816984</v>
      </c>
      <c r="AV1225" s="99">
        <f t="shared" si="827"/>
        <v>48206707706.872406</v>
      </c>
    </row>
    <row r="1226" spans="1:48">
      <c r="A1226" s="92">
        <v>45470</v>
      </c>
      <c r="B1226" s="55">
        <v>223912384000</v>
      </c>
      <c r="C1226" s="55">
        <v>30564885000</v>
      </c>
      <c r="D1226" s="55">
        <v>0</v>
      </c>
      <c r="E1226" s="55">
        <v>0</v>
      </c>
      <c r="F1226" s="55">
        <v>254477269000</v>
      </c>
      <c r="G1226" s="55">
        <v>68708863</v>
      </c>
      <c r="H1226" s="55">
        <v>49412000</v>
      </c>
      <c r="I1226" s="55">
        <v>17964400000</v>
      </c>
      <c r="J1226" s="55">
        <v>18013812000</v>
      </c>
      <c r="L1226" s="55">
        <v>58170863000</v>
      </c>
      <c r="M1226" s="55">
        <v>6489800000</v>
      </c>
      <c r="N1226" s="55">
        <v>64660663000</v>
      </c>
      <c r="O1226" s="55">
        <v>9066991000</v>
      </c>
      <c r="P1226" s="55">
        <v>0</v>
      </c>
      <c r="Q1226" s="55">
        <v>9066991000</v>
      </c>
      <c r="R1226" s="55">
        <v>1315109000</v>
      </c>
      <c r="S1226" s="55">
        <v>0</v>
      </c>
      <c r="T1226" s="55">
        <v>1315109000</v>
      </c>
      <c r="U1226" s="55">
        <v>158806000</v>
      </c>
      <c r="V1226" s="55">
        <v>0</v>
      </c>
      <c r="W1226" s="55">
        <v>158806000</v>
      </c>
      <c r="X1226" s="55">
        <v>65908000</v>
      </c>
      <c r="Y1226" s="55">
        <v>2566500000</v>
      </c>
      <c r="Z1226" s="55">
        <v>2632408000</v>
      </c>
      <c r="AA1226" s="55">
        <v>32588000</v>
      </c>
      <c r="AB1226" s="55">
        <v>0</v>
      </c>
      <c r="AC1226" s="55">
        <v>32588000</v>
      </c>
      <c r="AD1226" s="55">
        <v>0</v>
      </c>
      <c r="AE1226" s="55">
        <v>0</v>
      </c>
      <c r="AF1226" s="55">
        <v>0</v>
      </c>
      <c r="AG1226" s="55">
        <v>0</v>
      </c>
      <c r="AH1226" s="55">
        <v>0</v>
      </c>
      <c r="AI1226" s="55">
        <v>0</v>
      </c>
      <c r="AJ1226" s="55">
        <v>12300571</v>
      </c>
      <c r="AK1226" s="55">
        <v>0</v>
      </c>
      <c r="AL1226" s="55">
        <v>44933</v>
      </c>
      <c r="AM1226" s="55">
        <v>2063</v>
      </c>
      <c r="AN1226" s="55">
        <v>12568950</v>
      </c>
      <c r="AO1226" s="55">
        <v>5570100</v>
      </c>
      <c r="AQ1226" s="55">
        <v>34817541843000</v>
      </c>
      <c r="AR1226" s="55">
        <v>1783299756700</v>
      </c>
      <c r="AS1226" s="55">
        <v>123216230000</v>
      </c>
      <c r="AT1226" s="55">
        <v>377692294000</v>
      </c>
      <c r="AU1226" s="55">
        <f t="shared" si="826"/>
        <v>99148484</v>
      </c>
      <c r="AV1226" s="99">
        <f t="shared" si="827"/>
        <v>48305856190.872406</v>
      </c>
    </row>
    <row r="1227" spans="1:48">
      <c r="A1227" s="92">
        <v>45471</v>
      </c>
      <c r="B1227" s="55">
        <v>66473748000.470032</v>
      </c>
      <c r="C1227" s="55">
        <v>3827830000</v>
      </c>
      <c r="D1227" s="55">
        <v>0</v>
      </c>
      <c r="E1227" s="55">
        <v>0</v>
      </c>
      <c r="F1227" s="55">
        <v>70301578000.470032</v>
      </c>
      <c r="G1227" s="55">
        <v>18981426</v>
      </c>
      <c r="H1227" s="55">
        <v>259724000</v>
      </c>
      <c r="I1227" s="55">
        <v>13439300000</v>
      </c>
      <c r="J1227" s="55">
        <v>13699024000</v>
      </c>
      <c r="L1227" s="55">
        <v>104718917000</v>
      </c>
      <c r="M1227" s="55">
        <v>6433200000</v>
      </c>
      <c r="N1227" s="55">
        <v>111152117000</v>
      </c>
      <c r="O1227" s="55">
        <v>14220825000</v>
      </c>
      <c r="P1227" s="55">
        <v>0</v>
      </c>
      <c r="Q1227" s="55">
        <v>14220825000</v>
      </c>
      <c r="R1227" s="55">
        <v>2812515000</v>
      </c>
      <c r="S1227" s="55">
        <v>0</v>
      </c>
      <c r="T1227" s="55">
        <v>2812515000</v>
      </c>
      <c r="U1227" s="55">
        <v>156128000</v>
      </c>
      <c r="V1227" s="55">
        <v>0</v>
      </c>
      <c r="W1227" s="55">
        <v>156128000</v>
      </c>
      <c r="X1227" s="55">
        <v>3426000</v>
      </c>
      <c r="Y1227" s="55">
        <v>1715000000</v>
      </c>
      <c r="Z1227" s="55">
        <v>1718426000</v>
      </c>
      <c r="AA1227" s="55">
        <v>57677000</v>
      </c>
      <c r="AB1227" s="55">
        <v>0</v>
      </c>
      <c r="AC1227" s="55">
        <v>57677000</v>
      </c>
      <c r="AD1227" s="55">
        <v>11985103000</v>
      </c>
      <c r="AE1227" s="55">
        <v>0</v>
      </c>
      <c r="AF1227" s="55">
        <v>11985103000</v>
      </c>
      <c r="AG1227" s="55">
        <v>0</v>
      </c>
      <c r="AH1227" s="55">
        <v>0</v>
      </c>
      <c r="AI1227" s="55">
        <v>0</v>
      </c>
      <c r="AJ1227" s="55">
        <v>18380896</v>
      </c>
      <c r="AK1227" s="55">
        <v>0</v>
      </c>
      <c r="AL1227" s="55">
        <v>44933</v>
      </c>
      <c r="AM1227" s="55">
        <v>1668</v>
      </c>
      <c r="AN1227" s="55">
        <v>40338450</v>
      </c>
      <c r="AO1227" s="55">
        <v>4503600</v>
      </c>
      <c r="AP1227" s="55">
        <f>122506669+46051279.7420349</f>
        <v>168557948.74203491</v>
      </c>
      <c r="AQ1227" s="55">
        <v>46977694916400</v>
      </c>
      <c r="AR1227" s="55">
        <v>895971524160</v>
      </c>
      <c r="AS1227" s="55">
        <v>178576372000</v>
      </c>
      <c r="AT1227" s="55">
        <v>248695537000.47003</v>
      </c>
      <c r="AU1227" s="55">
        <f t="shared" si="826"/>
        <v>250762320.74203491</v>
      </c>
      <c r="AV1227" s="99">
        <f t="shared" si="827"/>
        <v>48556618511.614441</v>
      </c>
    </row>
    <row r="1228" spans="1:48">
      <c r="A1228" s="92">
        <v>45474</v>
      </c>
      <c r="B1228" s="55">
        <v>124103287000</v>
      </c>
      <c r="C1228" s="55">
        <v>29771359500</v>
      </c>
      <c r="D1228" s="55">
        <v>0</v>
      </c>
      <c r="E1228" s="55">
        <v>0</v>
      </c>
      <c r="F1228" s="55">
        <v>153874646500</v>
      </c>
      <c r="G1228" s="55">
        <v>41546155</v>
      </c>
      <c r="H1228" s="55">
        <v>2108680000</v>
      </c>
      <c r="I1228" s="55">
        <v>2239500000</v>
      </c>
      <c r="J1228" s="55">
        <v>4348180000</v>
      </c>
      <c r="L1228" s="55">
        <v>50936961000</v>
      </c>
      <c r="M1228" s="55">
        <v>115231800000</v>
      </c>
      <c r="N1228" s="55">
        <v>166168761000</v>
      </c>
      <c r="O1228" s="55">
        <v>85054000</v>
      </c>
      <c r="P1228" s="55">
        <v>0</v>
      </c>
      <c r="Q1228" s="55">
        <v>85054000</v>
      </c>
      <c r="R1228" s="55">
        <v>1988128000</v>
      </c>
      <c r="S1228" s="55">
        <v>0</v>
      </c>
      <c r="T1228" s="55">
        <v>1988128000</v>
      </c>
      <c r="U1228" s="55">
        <v>198006000</v>
      </c>
      <c r="V1228" s="55">
        <v>0</v>
      </c>
      <c r="W1228" s="55">
        <v>198006000</v>
      </c>
      <c r="X1228" s="55">
        <v>199407000</v>
      </c>
      <c r="Y1228" s="55">
        <v>2545500000</v>
      </c>
      <c r="Z1228" s="55">
        <v>2744907000</v>
      </c>
      <c r="AA1228" s="55">
        <v>136188000</v>
      </c>
      <c r="AB1228" s="55">
        <v>0</v>
      </c>
      <c r="AC1228" s="55">
        <v>136188000</v>
      </c>
      <c r="AD1228" s="55">
        <v>17853360000</v>
      </c>
      <c r="AE1228" s="55">
        <v>0</v>
      </c>
      <c r="AF1228" s="55">
        <v>17853360000</v>
      </c>
      <c r="AG1228" s="55">
        <v>0</v>
      </c>
      <c r="AH1228" s="55">
        <v>0</v>
      </c>
      <c r="AI1228" s="55">
        <v>0</v>
      </c>
      <c r="AJ1228" s="55">
        <v>29541649</v>
      </c>
      <c r="AK1228" s="55">
        <v>0</v>
      </c>
      <c r="AL1228" s="55">
        <v>44933</v>
      </c>
      <c r="AM1228" s="55">
        <v>2575</v>
      </c>
      <c r="AN1228" s="55">
        <v>15978300</v>
      </c>
      <c r="AO1228" s="55">
        <v>6952500</v>
      </c>
      <c r="AQ1228" s="55">
        <v>29772777433800</v>
      </c>
      <c r="AR1228" s="55">
        <v>851943184000</v>
      </c>
      <c r="AS1228" s="55">
        <v>236572298000</v>
      </c>
      <c r="AT1228" s="55">
        <v>390445734500</v>
      </c>
      <c r="AU1228" s="55">
        <f t="shared" ref="AU1228:AU1231" si="828">G1228+AJ1228+AK1228+AN1228+AO1228+AP1228</f>
        <v>94018604</v>
      </c>
      <c r="AV1228" s="99">
        <f t="shared" ref="AV1228:AV1231" si="829">AV1227+AU1228</f>
        <v>48650637115.614441</v>
      </c>
    </row>
    <row r="1229" spans="1:48">
      <c r="A1229" s="92">
        <v>45475</v>
      </c>
      <c r="B1229" s="55">
        <v>203402615000</v>
      </c>
      <c r="C1229" s="55">
        <v>23536140700</v>
      </c>
      <c r="D1229" s="55">
        <v>0</v>
      </c>
      <c r="E1229" s="55">
        <v>2643820000</v>
      </c>
      <c r="F1229" s="55">
        <v>229582575700</v>
      </c>
      <c r="G1229" s="55">
        <v>61987295</v>
      </c>
      <c r="H1229" s="55">
        <v>3682433000</v>
      </c>
      <c r="I1229" s="55">
        <v>20234800000</v>
      </c>
      <c r="J1229" s="55">
        <v>23917233000</v>
      </c>
      <c r="L1229" s="55">
        <v>15589959000</v>
      </c>
      <c r="M1229" s="55">
        <v>12859800000</v>
      </c>
      <c r="N1229" s="55">
        <v>28449759000</v>
      </c>
      <c r="O1229" s="55">
        <v>100379000</v>
      </c>
      <c r="P1229" s="55">
        <v>0</v>
      </c>
      <c r="Q1229" s="55">
        <v>100379000</v>
      </c>
      <c r="R1229" s="55">
        <v>809043000</v>
      </c>
      <c r="S1229" s="55">
        <v>0</v>
      </c>
      <c r="T1229" s="55">
        <v>809043000</v>
      </c>
      <c r="U1229" s="55">
        <v>282467000</v>
      </c>
      <c r="V1229" s="55">
        <v>0</v>
      </c>
      <c r="W1229" s="55">
        <v>282467000</v>
      </c>
      <c r="X1229" s="55">
        <v>6888000</v>
      </c>
      <c r="Y1229" s="55">
        <v>0</v>
      </c>
      <c r="Z1229" s="55">
        <v>6888000</v>
      </c>
      <c r="AA1229" s="55">
        <v>215512000</v>
      </c>
      <c r="AB1229" s="55">
        <v>0</v>
      </c>
      <c r="AC1229" s="55">
        <v>215512000</v>
      </c>
      <c r="AD1229" s="55">
        <v>16416043000</v>
      </c>
      <c r="AE1229" s="55">
        <v>0</v>
      </c>
      <c r="AF1229" s="55">
        <v>16416043000</v>
      </c>
      <c r="AG1229" s="55">
        <v>0</v>
      </c>
      <c r="AH1229" s="55">
        <v>0</v>
      </c>
      <c r="AI1229" s="55">
        <v>0</v>
      </c>
      <c r="AJ1229" s="55">
        <v>9964122</v>
      </c>
      <c r="AK1229" s="55">
        <v>0</v>
      </c>
      <c r="AL1229" s="55">
        <v>44933</v>
      </c>
      <c r="AM1229" s="55">
        <v>2262</v>
      </c>
      <c r="AN1229" s="55">
        <v>11995200</v>
      </c>
      <c r="AO1229" s="55">
        <v>6107400</v>
      </c>
      <c r="AQ1229" s="55">
        <v>31383642980600</v>
      </c>
      <c r="AR1229" s="55">
        <v>148576193140</v>
      </c>
      <c r="AS1229" s="55">
        <v>120178441000</v>
      </c>
      <c r="AT1229" s="55">
        <v>349577566700</v>
      </c>
      <c r="AU1229" s="55">
        <f t="shared" si="828"/>
        <v>90054017</v>
      </c>
      <c r="AV1229" s="99">
        <f t="shared" si="829"/>
        <v>48740691132.614441</v>
      </c>
    </row>
    <row r="1230" spans="1:48">
      <c r="A1230" s="92">
        <v>45476</v>
      </c>
      <c r="B1230" s="55">
        <v>159799229000</v>
      </c>
      <c r="C1230" s="55">
        <v>19976815000</v>
      </c>
      <c r="D1230" s="55">
        <v>0</v>
      </c>
      <c r="E1230" s="55">
        <v>1805765000</v>
      </c>
      <c r="F1230" s="55">
        <v>181581809000</v>
      </c>
      <c r="G1230" s="55">
        <v>49027088</v>
      </c>
      <c r="H1230" s="55">
        <v>2887015000</v>
      </c>
      <c r="I1230" s="55">
        <v>13636200000</v>
      </c>
      <c r="J1230" s="55">
        <v>16523215000</v>
      </c>
      <c r="L1230" s="55">
        <v>24358835000</v>
      </c>
      <c r="M1230" s="55">
        <v>13016600000</v>
      </c>
      <c r="N1230" s="55">
        <v>37375435000</v>
      </c>
      <c r="O1230" s="55">
        <v>7149454000</v>
      </c>
      <c r="P1230" s="55">
        <v>0</v>
      </c>
      <c r="Q1230" s="55">
        <v>7149454000</v>
      </c>
      <c r="R1230" s="55">
        <v>487669000</v>
      </c>
      <c r="S1230" s="55">
        <v>0</v>
      </c>
      <c r="T1230" s="55">
        <v>487669000</v>
      </c>
      <c r="U1230" s="55">
        <v>104846000</v>
      </c>
      <c r="V1230" s="55">
        <v>0</v>
      </c>
      <c r="W1230" s="55">
        <v>104846000</v>
      </c>
      <c r="X1230" s="55">
        <v>475226000</v>
      </c>
      <c r="Y1230" s="55">
        <v>0</v>
      </c>
      <c r="Z1230" s="55">
        <v>475226000</v>
      </c>
      <c r="AA1230" s="55">
        <v>72312000</v>
      </c>
      <c r="AB1230" s="55">
        <v>0</v>
      </c>
      <c r="AC1230" s="55">
        <v>72312000</v>
      </c>
      <c r="AD1230" s="55">
        <v>6146000</v>
      </c>
      <c r="AE1230" s="55">
        <v>0</v>
      </c>
      <c r="AF1230" s="55">
        <v>6146000</v>
      </c>
      <c r="AG1230" s="55">
        <v>0</v>
      </c>
      <c r="AH1230" s="55">
        <v>0</v>
      </c>
      <c r="AI1230" s="55">
        <v>0</v>
      </c>
      <c r="AJ1230" s="55">
        <v>8635986</v>
      </c>
      <c r="AK1230" s="55">
        <v>0</v>
      </c>
      <c r="AL1230" s="55">
        <v>44933</v>
      </c>
      <c r="AM1230" s="55">
        <v>1580</v>
      </c>
      <c r="AN1230" s="55">
        <v>12724500</v>
      </c>
      <c r="AO1230" s="55">
        <v>4266000</v>
      </c>
      <c r="AQ1230" s="55">
        <v>35491750038400</v>
      </c>
      <c r="AR1230" s="55">
        <v>163025079600</v>
      </c>
      <c r="AS1230" s="55">
        <v>89096449000</v>
      </c>
      <c r="AT1230" s="55">
        <v>270677034000</v>
      </c>
      <c r="AU1230" s="55">
        <f t="shared" si="828"/>
        <v>74653574</v>
      </c>
      <c r="AV1230" s="99">
        <f t="shared" si="829"/>
        <v>48815344706.614441</v>
      </c>
    </row>
    <row r="1231" spans="1:48">
      <c r="A1231" s="92">
        <v>45477</v>
      </c>
      <c r="B1231" s="55">
        <v>90277124000.220001</v>
      </c>
      <c r="C1231" s="55">
        <v>23118080000</v>
      </c>
      <c r="D1231" s="55">
        <v>0</v>
      </c>
      <c r="E1231" s="55">
        <v>4032930000</v>
      </c>
      <c r="F1231" s="55">
        <v>117428134000.22</v>
      </c>
      <c r="G1231" s="55">
        <v>31705596</v>
      </c>
      <c r="H1231" s="55">
        <v>91226000</v>
      </c>
      <c r="I1231" s="55">
        <v>45680400000</v>
      </c>
      <c r="J1231" s="55">
        <v>45771626000</v>
      </c>
      <c r="L1231" s="55">
        <v>7557880000</v>
      </c>
      <c r="M1231" s="55">
        <v>44288250000</v>
      </c>
      <c r="N1231" s="55">
        <v>51846130000</v>
      </c>
      <c r="O1231" s="55">
        <v>4321797000</v>
      </c>
      <c r="P1231" s="55">
        <v>0</v>
      </c>
      <c r="Q1231" s="55">
        <v>4321797000</v>
      </c>
      <c r="R1231" s="55">
        <v>1170033000</v>
      </c>
      <c r="S1231" s="55">
        <v>0</v>
      </c>
      <c r="T1231" s="55">
        <v>1170033000</v>
      </c>
      <c r="U1231" s="55">
        <v>104064000</v>
      </c>
      <c r="V1231" s="55">
        <v>0</v>
      </c>
      <c r="W1231" s="55">
        <v>104064000</v>
      </c>
      <c r="X1231" s="55">
        <v>7838000</v>
      </c>
      <c r="Y1231" s="55">
        <v>0</v>
      </c>
      <c r="Z1231" s="55">
        <v>7838000</v>
      </c>
      <c r="AA1231" s="55">
        <v>14817000</v>
      </c>
      <c r="AB1231" s="55">
        <v>0</v>
      </c>
      <c r="AC1231" s="55">
        <v>14817000</v>
      </c>
      <c r="AD1231" s="55">
        <v>19658000</v>
      </c>
      <c r="AE1231" s="55">
        <v>0</v>
      </c>
      <c r="AF1231" s="55">
        <v>19658000</v>
      </c>
      <c r="AG1231" s="55">
        <v>0</v>
      </c>
      <c r="AH1231" s="55">
        <v>0</v>
      </c>
      <c r="AI1231" s="55">
        <v>0</v>
      </c>
      <c r="AJ1231" s="55">
        <v>17629387</v>
      </c>
      <c r="AK1231" s="55">
        <v>0</v>
      </c>
      <c r="AL1231" s="55">
        <v>44933</v>
      </c>
      <c r="AM1231" s="55">
        <v>1425</v>
      </c>
      <c r="AN1231" s="55">
        <v>11334750</v>
      </c>
      <c r="AO1231" s="55">
        <v>3847500</v>
      </c>
      <c r="AQ1231" s="55">
        <v>32623730021200</v>
      </c>
      <c r="AR1231" s="55">
        <v>281118365520</v>
      </c>
      <c r="AS1231" s="55">
        <v>193389655000</v>
      </c>
      <c r="AT1231" s="55">
        <v>318327874000.21997</v>
      </c>
      <c r="AU1231" s="55">
        <f t="shared" si="828"/>
        <v>64517233</v>
      </c>
      <c r="AV1231" s="99">
        <f t="shared" si="829"/>
        <v>48879861939.614441</v>
      </c>
    </row>
    <row r="1232" spans="1:48">
      <c r="A1232" s="92">
        <v>45478</v>
      </c>
      <c r="B1232" s="55">
        <v>91807374000</v>
      </c>
      <c r="C1232" s="55">
        <v>3108675000</v>
      </c>
      <c r="D1232" s="55">
        <v>0</v>
      </c>
      <c r="E1232" s="55">
        <v>0</v>
      </c>
      <c r="F1232" s="55">
        <v>94916049000</v>
      </c>
      <c r="G1232" s="55">
        <v>25627333</v>
      </c>
      <c r="H1232" s="55">
        <v>576188000</v>
      </c>
      <c r="I1232" s="55">
        <v>13722100000</v>
      </c>
      <c r="J1232" s="55">
        <v>14298288000</v>
      </c>
      <c r="L1232" s="55">
        <v>86794863000</v>
      </c>
      <c r="M1232" s="55">
        <v>6609700000</v>
      </c>
      <c r="N1232" s="55">
        <v>93404563000</v>
      </c>
      <c r="O1232" s="55">
        <v>30135540000</v>
      </c>
      <c r="P1232" s="55">
        <v>0</v>
      </c>
      <c r="Q1232" s="55">
        <v>30135540000</v>
      </c>
      <c r="R1232" s="55">
        <v>1029106000</v>
      </c>
      <c r="S1232" s="55">
        <v>0</v>
      </c>
      <c r="T1232" s="55">
        <v>1029106000</v>
      </c>
      <c r="U1232" s="55">
        <v>24412000</v>
      </c>
      <c r="V1232" s="55">
        <v>0</v>
      </c>
      <c r="W1232" s="55">
        <v>24412000</v>
      </c>
      <c r="X1232" s="55">
        <v>33169000</v>
      </c>
      <c r="Y1232" s="55">
        <v>0</v>
      </c>
      <c r="Z1232" s="55">
        <v>33169000</v>
      </c>
      <c r="AA1232" s="55">
        <v>38190000</v>
      </c>
      <c r="AB1232" s="55">
        <v>0</v>
      </c>
      <c r="AC1232" s="55">
        <v>38190000</v>
      </c>
      <c r="AD1232" s="55">
        <v>4968000</v>
      </c>
      <c r="AE1232" s="55">
        <v>0</v>
      </c>
      <c r="AF1232" s="55">
        <v>4968000</v>
      </c>
      <c r="AG1232" s="55">
        <v>0</v>
      </c>
      <c r="AH1232" s="55">
        <v>0</v>
      </c>
      <c r="AI1232" s="55">
        <v>0</v>
      </c>
      <c r="AJ1232" s="55">
        <v>16472459</v>
      </c>
      <c r="AK1232" s="55">
        <v>0</v>
      </c>
      <c r="AL1232" s="55">
        <v>44933</v>
      </c>
      <c r="AM1232" s="55">
        <v>1564</v>
      </c>
      <c r="AN1232" s="55">
        <v>35396550</v>
      </c>
      <c r="AO1232" s="55">
        <v>4222800</v>
      </c>
      <c r="AQ1232" s="55">
        <v>36301292985400</v>
      </c>
      <c r="AR1232" s="55">
        <v>439957937720</v>
      </c>
      <c r="AS1232" s="55">
        <v>159620449000</v>
      </c>
      <c r="AT1232" s="55">
        <v>254536498000</v>
      </c>
      <c r="AU1232" s="55">
        <f t="shared" ref="AU1232:AU1233" si="830">G1232+AJ1232+AK1232+AN1232+AO1232+AP1232</f>
        <v>81719142</v>
      </c>
      <c r="AV1232" s="99">
        <f t="shared" ref="AV1232:AV1233" si="831">AV1231+AU1232</f>
        <v>48961581081.614441</v>
      </c>
    </row>
    <row r="1233" spans="1:48">
      <c r="A1233" s="92">
        <v>45481</v>
      </c>
      <c r="B1233" s="55">
        <v>231624943000</v>
      </c>
      <c r="C1233" s="55">
        <v>6249080000</v>
      </c>
      <c r="D1233" s="55">
        <v>0</v>
      </c>
      <c r="E1233" s="55">
        <v>0</v>
      </c>
      <c r="F1233" s="55">
        <v>237874023000</v>
      </c>
      <c r="G1233" s="55">
        <v>64225986</v>
      </c>
      <c r="H1233" s="55">
        <v>29822000</v>
      </c>
      <c r="I1233" s="55">
        <v>13733400000</v>
      </c>
      <c r="J1233" s="55">
        <v>13763222000</v>
      </c>
      <c r="L1233" s="55">
        <v>28115363000</v>
      </c>
      <c r="M1233" s="55">
        <v>3298400000</v>
      </c>
      <c r="N1233" s="55">
        <v>31413763000</v>
      </c>
      <c r="O1233" s="55">
        <v>7799941000</v>
      </c>
      <c r="P1233" s="55">
        <v>0</v>
      </c>
      <c r="Q1233" s="55">
        <v>7799941000</v>
      </c>
      <c r="R1233" s="55">
        <v>1638566000</v>
      </c>
      <c r="S1233" s="55">
        <v>0</v>
      </c>
      <c r="T1233" s="55">
        <v>1638566000</v>
      </c>
      <c r="U1233" s="55">
        <v>74919000</v>
      </c>
      <c r="V1233" s="55">
        <v>0</v>
      </c>
      <c r="W1233" s="55">
        <v>74919000</v>
      </c>
      <c r="X1233" s="55">
        <v>443461000</v>
      </c>
      <c r="Y1233" s="55">
        <v>0</v>
      </c>
      <c r="Z1233" s="55">
        <v>443461000</v>
      </c>
      <c r="AA1233" s="55">
        <v>151364000</v>
      </c>
      <c r="AB1233" s="55">
        <v>0</v>
      </c>
      <c r="AC1233" s="55">
        <v>151364000</v>
      </c>
      <c r="AD1233" s="55">
        <v>17296000</v>
      </c>
      <c r="AE1233" s="55">
        <v>0</v>
      </c>
      <c r="AF1233" s="55">
        <v>17296000</v>
      </c>
      <c r="AG1233" s="55">
        <v>0</v>
      </c>
      <c r="AH1233" s="55">
        <v>0</v>
      </c>
      <c r="AI1233" s="55">
        <v>0</v>
      </c>
      <c r="AJ1233" s="55">
        <v>7198963</v>
      </c>
      <c r="AK1233" s="55">
        <v>0</v>
      </c>
      <c r="AL1233" s="55">
        <v>44933</v>
      </c>
      <c r="AM1233" s="55">
        <v>2258</v>
      </c>
      <c r="AN1233" s="55">
        <v>7428150</v>
      </c>
      <c r="AO1233" s="55">
        <v>6096600</v>
      </c>
      <c r="AQ1233" s="55">
        <v>45272412578200</v>
      </c>
      <c r="AR1233" s="55">
        <v>229751717640</v>
      </c>
      <c r="AS1233" s="55">
        <v>72642323000</v>
      </c>
      <c r="AT1233" s="55">
        <v>310392646000</v>
      </c>
      <c r="AU1233" s="55">
        <f t="shared" si="830"/>
        <v>84949699</v>
      </c>
      <c r="AV1233" s="99">
        <f t="shared" si="831"/>
        <v>49046530780.614441</v>
      </c>
    </row>
    <row r="1234" spans="1:48">
      <c r="A1234" s="92">
        <v>45482</v>
      </c>
      <c r="B1234" s="55">
        <v>174660549000</v>
      </c>
      <c r="C1234" s="55">
        <v>3110470000</v>
      </c>
      <c r="D1234" s="55">
        <v>0</v>
      </c>
      <c r="E1234" s="55">
        <v>0</v>
      </c>
      <c r="F1234" s="55">
        <v>177771019000</v>
      </c>
      <c r="G1234" s="55">
        <v>47998175</v>
      </c>
      <c r="H1234" s="55">
        <v>27230986000</v>
      </c>
      <c r="I1234" s="55">
        <v>25217800000</v>
      </c>
      <c r="J1234" s="55">
        <v>52448786000</v>
      </c>
      <c r="L1234" s="55">
        <v>40528196000</v>
      </c>
      <c r="M1234" s="55">
        <v>0</v>
      </c>
      <c r="N1234" s="55">
        <v>40528196000</v>
      </c>
      <c r="O1234" s="55">
        <v>69234938000</v>
      </c>
      <c r="P1234" s="55">
        <v>0</v>
      </c>
      <c r="Q1234" s="55">
        <v>69234938000</v>
      </c>
      <c r="R1234" s="55">
        <v>2525093000</v>
      </c>
      <c r="S1234" s="55">
        <v>0</v>
      </c>
      <c r="T1234" s="55">
        <v>2525093000</v>
      </c>
      <c r="U1234" s="55">
        <v>186111000</v>
      </c>
      <c r="V1234" s="55">
        <v>0</v>
      </c>
      <c r="W1234" s="55">
        <v>186111000</v>
      </c>
      <c r="X1234" s="55">
        <v>2618000</v>
      </c>
      <c r="Y1234" s="55">
        <v>0</v>
      </c>
      <c r="Z1234" s="55">
        <v>2618000</v>
      </c>
      <c r="AA1234" s="55">
        <v>74784000</v>
      </c>
      <c r="AB1234" s="55">
        <v>0</v>
      </c>
      <c r="AC1234" s="55">
        <v>74784000</v>
      </c>
      <c r="AD1234" s="55">
        <v>3721000</v>
      </c>
      <c r="AE1234" s="55">
        <v>0</v>
      </c>
      <c r="AF1234" s="55">
        <v>3721000</v>
      </c>
      <c r="AG1234" s="55">
        <v>0</v>
      </c>
      <c r="AH1234" s="55">
        <v>0</v>
      </c>
      <c r="AI1234" s="55">
        <v>0</v>
      </c>
      <c r="AJ1234" s="55">
        <v>19636140</v>
      </c>
      <c r="AK1234" s="55">
        <v>0</v>
      </c>
      <c r="AL1234" s="55">
        <v>44933</v>
      </c>
      <c r="AM1234" s="55">
        <v>2409</v>
      </c>
      <c r="AN1234" s="55">
        <v>8256900</v>
      </c>
      <c r="AO1234" s="55">
        <v>6504300</v>
      </c>
      <c r="AQ1234" s="55">
        <v>49485822708400</v>
      </c>
      <c r="AR1234" s="55">
        <v>361145314720</v>
      </c>
      <c r="AS1234" s="55">
        <v>190709904000</v>
      </c>
      <c r="AT1234" s="55">
        <v>368480923000</v>
      </c>
      <c r="AU1234" s="55">
        <f t="shared" ref="AU1234:AU1251" si="832">G1234+AJ1234+AK1234+AN1234+AO1234+AP1234</f>
        <v>82395515</v>
      </c>
      <c r="AV1234" s="99">
        <f t="shared" ref="AV1234:AV1251" si="833">AV1233+AU1234</f>
        <v>49128926295.614441</v>
      </c>
    </row>
    <row r="1235" spans="1:48">
      <c r="A1235" s="92">
        <v>45483</v>
      </c>
      <c r="B1235" s="55">
        <v>144577628000</v>
      </c>
      <c r="C1235" s="55">
        <v>3162495000</v>
      </c>
      <c r="D1235" s="55">
        <v>0</v>
      </c>
      <c r="E1235" s="55">
        <v>0</v>
      </c>
      <c r="F1235" s="55">
        <v>147740123000</v>
      </c>
      <c r="G1235" s="55">
        <v>39889833</v>
      </c>
      <c r="H1235" s="55">
        <v>2726085000</v>
      </c>
      <c r="I1235" s="55">
        <v>23018000000</v>
      </c>
      <c r="J1235" s="55">
        <v>25744085000</v>
      </c>
      <c r="L1235" s="55">
        <v>60584808000</v>
      </c>
      <c r="M1235" s="55">
        <v>6672600000</v>
      </c>
      <c r="N1235" s="55">
        <v>67257408000</v>
      </c>
      <c r="O1235" s="55">
        <v>21822976000</v>
      </c>
      <c r="P1235" s="55">
        <v>0</v>
      </c>
      <c r="Q1235" s="55">
        <v>21822976000</v>
      </c>
      <c r="R1235" s="55">
        <v>2107755000</v>
      </c>
      <c r="S1235" s="55">
        <v>0</v>
      </c>
      <c r="T1235" s="55">
        <v>2107755000</v>
      </c>
      <c r="U1235" s="55">
        <v>417908000</v>
      </c>
      <c r="V1235" s="55">
        <v>0</v>
      </c>
      <c r="W1235" s="55">
        <v>417908000</v>
      </c>
      <c r="X1235" s="55">
        <v>173250000</v>
      </c>
      <c r="Y1235" s="55">
        <v>0</v>
      </c>
      <c r="Z1235" s="55">
        <v>173250000</v>
      </c>
      <c r="AA1235" s="55">
        <v>424230000</v>
      </c>
      <c r="AB1235" s="55">
        <v>0</v>
      </c>
      <c r="AC1235" s="55">
        <v>424230000</v>
      </c>
      <c r="AD1235" s="55">
        <v>1248000</v>
      </c>
      <c r="AE1235" s="55">
        <v>0</v>
      </c>
      <c r="AF1235" s="55">
        <v>1248000</v>
      </c>
      <c r="AG1235" s="55">
        <v>0</v>
      </c>
      <c r="AH1235" s="55">
        <v>0</v>
      </c>
      <c r="AI1235" s="55">
        <v>0</v>
      </c>
      <c r="AJ1235" s="55">
        <v>14876200</v>
      </c>
      <c r="AK1235" s="55">
        <v>0</v>
      </c>
      <c r="AL1235" s="55">
        <v>44933</v>
      </c>
      <c r="AM1235" s="55">
        <v>1858</v>
      </c>
      <c r="AN1235" s="55">
        <v>10608000</v>
      </c>
      <c r="AO1235" s="55">
        <v>5016600</v>
      </c>
      <c r="AQ1235" s="55">
        <v>49246572242800</v>
      </c>
      <c r="AR1235" s="55">
        <v>332255959020</v>
      </c>
      <c r="AS1235" s="55">
        <v>148458030000</v>
      </c>
      <c r="AT1235" s="55">
        <v>296195645000</v>
      </c>
      <c r="AU1235" s="55">
        <f t="shared" si="832"/>
        <v>70390633</v>
      </c>
      <c r="AV1235" s="99">
        <f t="shared" si="833"/>
        <v>49199316928.614441</v>
      </c>
    </row>
    <row r="1236" spans="1:48">
      <c r="A1236" s="92">
        <v>45484</v>
      </c>
      <c r="B1236" s="55">
        <v>139275564000</v>
      </c>
      <c r="C1236" s="55">
        <v>0</v>
      </c>
      <c r="D1236" s="55">
        <v>0</v>
      </c>
      <c r="E1236" s="55">
        <v>0</v>
      </c>
      <c r="F1236" s="55">
        <v>139275564000</v>
      </c>
      <c r="G1236" s="55">
        <v>37604402</v>
      </c>
      <c r="H1236" s="55">
        <v>50409000</v>
      </c>
      <c r="I1236" s="55">
        <v>11434500000</v>
      </c>
      <c r="J1236" s="55">
        <v>11484909000</v>
      </c>
      <c r="L1236" s="55">
        <v>24307386000</v>
      </c>
      <c r="M1236" s="55">
        <v>13283200000</v>
      </c>
      <c r="N1236" s="55">
        <v>37590586000</v>
      </c>
      <c r="O1236" s="55">
        <v>9204381000</v>
      </c>
      <c r="P1236" s="55">
        <v>0</v>
      </c>
      <c r="Q1236" s="55">
        <v>9204381000</v>
      </c>
      <c r="R1236" s="55">
        <v>3006806000</v>
      </c>
      <c r="S1236" s="55">
        <v>0</v>
      </c>
      <c r="T1236" s="55">
        <v>3006806000</v>
      </c>
      <c r="U1236" s="55">
        <v>210445000</v>
      </c>
      <c r="V1236" s="55">
        <v>0</v>
      </c>
      <c r="W1236" s="55">
        <v>210445000</v>
      </c>
      <c r="X1236" s="55">
        <v>275644000</v>
      </c>
      <c r="Y1236" s="55">
        <v>0</v>
      </c>
      <c r="Z1236" s="55">
        <v>275644000</v>
      </c>
      <c r="AA1236" s="55">
        <v>91050000</v>
      </c>
      <c r="AB1236" s="55">
        <v>0</v>
      </c>
      <c r="AC1236" s="55">
        <v>91050000</v>
      </c>
      <c r="AD1236" s="55">
        <v>11178000</v>
      </c>
      <c r="AE1236" s="55">
        <v>0</v>
      </c>
      <c r="AF1236" s="55">
        <v>11178000</v>
      </c>
      <c r="AG1236" s="55">
        <v>0</v>
      </c>
      <c r="AH1236" s="55">
        <v>0</v>
      </c>
      <c r="AI1236" s="55">
        <v>0</v>
      </c>
      <c r="AJ1236" s="55">
        <v>8462174</v>
      </c>
      <c r="AK1236" s="55">
        <v>0</v>
      </c>
      <c r="AL1236" s="55">
        <v>44933</v>
      </c>
      <c r="AM1236" s="55">
        <v>1700</v>
      </c>
      <c r="AN1236" s="55">
        <v>11826900</v>
      </c>
      <c r="AO1236" s="55">
        <v>4590000</v>
      </c>
      <c r="AQ1236" s="55">
        <v>42131589832400</v>
      </c>
      <c r="AR1236" s="55">
        <v>166191422180</v>
      </c>
      <c r="AS1236" s="55">
        <v>86778952000</v>
      </c>
      <c r="AT1236" s="55">
        <v>226029556000</v>
      </c>
      <c r="AU1236" s="55">
        <f t="shared" si="832"/>
        <v>62483476</v>
      </c>
      <c r="AV1236" s="99">
        <f t="shared" si="833"/>
        <v>49261800404.614441</v>
      </c>
    </row>
    <row r="1237" spans="1:48">
      <c r="A1237" s="92">
        <v>45485</v>
      </c>
      <c r="B1237" s="55">
        <v>108072251000</v>
      </c>
      <c r="C1237" s="55">
        <v>6262965000</v>
      </c>
      <c r="D1237" s="55">
        <v>0</v>
      </c>
      <c r="E1237" s="55">
        <v>0</v>
      </c>
      <c r="F1237" s="55">
        <v>114335216000</v>
      </c>
      <c r="G1237" s="55">
        <v>30870508</v>
      </c>
      <c r="H1237" s="55">
        <v>118841000</v>
      </c>
      <c r="I1237" s="55">
        <v>41065900000</v>
      </c>
      <c r="J1237" s="55">
        <v>41184741000</v>
      </c>
      <c r="L1237" s="55">
        <v>5487840000</v>
      </c>
      <c r="M1237" s="55">
        <v>6610000000</v>
      </c>
      <c r="N1237" s="55">
        <v>12097840000</v>
      </c>
      <c r="O1237" s="55">
        <v>22528829000</v>
      </c>
      <c r="P1237" s="55">
        <v>0</v>
      </c>
      <c r="Q1237" s="55">
        <v>22528829000</v>
      </c>
      <c r="R1237" s="55">
        <v>1829384000</v>
      </c>
      <c r="S1237" s="55">
        <v>0</v>
      </c>
      <c r="T1237" s="55">
        <v>1829384000</v>
      </c>
      <c r="U1237" s="55">
        <v>66511000</v>
      </c>
      <c r="V1237" s="55">
        <v>0</v>
      </c>
      <c r="W1237" s="55">
        <v>66511000</v>
      </c>
      <c r="X1237" s="55">
        <v>12216000</v>
      </c>
      <c r="Y1237" s="55">
        <v>0</v>
      </c>
      <c r="Z1237" s="55">
        <v>12216000</v>
      </c>
      <c r="AA1237" s="55">
        <v>210135000</v>
      </c>
      <c r="AB1237" s="55">
        <v>0</v>
      </c>
      <c r="AC1237" s="55">
        <v>210135000</v>
      </c>
      <c r="AD1237" s="55">
        <v>0</v>
      </c>
      <c r="AE1237" s="55">
        <v>0</v>
      </c>
      <c r="AF1237" s="55">
        <v>0</v>
      </c>
      <c r="AG1237" s="55">
        <v>0</v>
      </c>
      <c r="AH1237" s="55">
        <v>0</v>
      </c>
      <c r="AI1237" s="55">
        <v>0</v>
      </c>
      <c r="AJ1237" s="55">
        <v>11849068</v>
      </c>
      <c r="AK1237" s="55">
        <v>0</v>
      </c>
      <c r="AL1237" s="55">
        <v>44933</v>
      </c>
      <c r="AM1237" s="55">
        <v>1481</v>
      </c>
      <c r="AN1237" s="55">
        <v>33468750</v>
      </c>
      <c r="AO1237" s="55">
        <v>3998700</v>
      </c>
      <c r="AQ1237" s="55">
        <v>34687093755000</v>
      </c>
      <c r="AR1237" s="55">
        <v>217505152020</v>
      </c>
      <c r="AS1237" s="55">
        <v>125891983000</v>
      </c>
      <c r="AT1237" s="55">
        <v>240227199000</v>
      </c>
      <c r="AU1237" s="55">
        <f t="shared" si="832"/>
        <v>80187026</v>
      </c>
      <c r="AV1237" s="99">
        <f t="shared" si="833"/>
        <v>49341987430.614441</v>
      </c>
    </row>
    <row r="1238" spans="1:48">
      <c r="A1238" s="92">
        <v>45488</v>
      </c>
      <c r="B1238" s="55">
        <v>132400704000</v>
      </c>
      <c r="C1238" s="55">
        <v>0</v>
      </c>
      <c r="D1238" s="55">
        <v>0</v>
      </c>
      <c r="E1238" s="55">
        <v>0</v>
      </c>
      <c r="F1238" s="55">
        <v>132400704000</v>
      </c>
      <c r="G1238" s="55">
        <v>35748190</v>
      </c>
      <c r="H1238" s="55">
        <v>0</v>
      </c>
      <c r="I1238" s="55">
        <v>18150800000</v>
      </c>
      <c r="J1238" s="55">
        <v>18150800000</v>
      </c>
      <c r="L1238" s="55">
        <v>13705737000</v>
      </c>
      <c r="M1238" s="55">
        <v>6620200000</v>
      </c>
      <c r="N1238" s="55">
        <v>20325937000</v>
      </c>
      <c r="O1238" s="55">
        <v>2273958000</v>
      </c>
      <c r="P1238" s="55">
        <v>0</v>
      </c>
      <c r="Q1238" s="55">
        <v>2273958000</v>
      </c>
      <c r="R1238" s="55">
        <v>2324681000</v>
      </c>
      <c r="S1238" s="55">
        <v>0</v>
      </c>
      <c r="T1238" s="55">
        <v>2324681000</v>
      </c>
      <c r="U1238" s="55">
        <v>169831000</v>
      </c>
      <c r="V1238" s="55">
        <v>0</v>
      </c>
      <c r="W1238" s="55">
        <v>169831000</v>
      </c>
      <c r="X1238" s="55">
        <v>30285000</v>
      </c>
      <c r="Y1238" s="55">
        <v>0</v>
      </c>
      <c r="Z1238" s="55">
        <v>30285000</v>
      </c>
      <c r="AA1238" s="55">
        <v>110211000</v>
      </c>
      <c r="AB1238" s="55">
        <v>0</v>
      </c>
      <c r="AC1238" s="55">
        <v>110211000</v>
      </c>
      <c r="AD1238" s="55">
        <v>1232000</v>
      </c>
      <c r="AE1238" s="55">
        <v>0</v>
      </c>
      <c r="AF1238" s="55">
        <v>1232000</v>
      </c>
      <c r="AG1238" s="55">
        <v>0</v>
      </c>
      <c r="AH1238" s="55">
        <v>0</v>
      </c>
      <c r="AI1238" s="55">
        <v>0</v>
      </c>
      <c r="AJ1238" s="55">
        <v>6469301</v>
      </c>
      <c r="AK1238" s="55">
        <v>0</v>
      </c>
      <c r="AL1238" s="55">
        <v>44933</v>
      </c>
      <c r="AM1238" s="55">
        <v>3122</v>
      </c>
      <c r="AN1238" s="55">
        <v>9539550</v>
      </c>
      <c r="AO1238" s="55">
        <v>8429400</v>
      </c>
      <c r="AQ1238" s="55">
        <v>33096451604200</v>
      </c>
      <c r="AR1238" s="55">
        <v>99766193520</v>
      </c>
      <c r="AS1238" s="55">
        <v>68620546000</v>
      </c>
      <c r="AT1238" s="55">
        <v>200977955000</v>
      </c>
      <c r="AU1238" s="55">
        <f t="shared" si="832"/>
        <v>60186441</v>
      </c>
      <c r="AV1238" s="99">
        <f t="shared" si="833"/>
        <v>49402173871.614441</v>
      </c>
    </row>
    <row r="1239" spans="1:48">
      <c r="A1239" s="92">
        <v>45489</v>
      </c>
      <c r="B1239" s="55">
        <v>88783782000</v>
      </c>
      <c r="C1239" s="55">
        <v>6252390000</v>
      </c>
      <c r="D1239" s="55">
        <v>0</v>
      </c>
      <c r="E1239" s="55">
        <v>0</v>
      </c>
      <c r="F1239" s="55">
        <v>95036172000</v>
      </c>
      <c r="G1239" s="55">
        <v>25659766</v>
      </c>
      <c r="H1239" s="55">
        <v>296501000</v>
      </c>
      <c r="I1239" s="55">
        <v>15940000000</v>
      </c>
      <c r="J1239" s="55">
        <v>16236501000</v>
      </c>
      <c r="L1239" s="55">
        <v>23117162000</v>
      </c>
      <c r="M1239" s="55">
        <v>0</v>
      </c>
      <c r="N1239" s="55">
        <v>23117162000</v>
      </c>
      <c r="O1239" s="55">
        <v>3493273000</v>
      </c>
      <c r="P1239" s="55">
        <v>0</v>
      </c>
      <c r="Q1239" s="55">
        <v>3493273000</v>
      </c>
      <c r="R1239" s="55">
        <v>1265255000</v>
      </c>
      <c r="S1239" s="55">
        <v>0</v>
      </c>
      <c r="T1239" s="55">
        <v>1265255000</v>
      </c>
      <c r="U1239" s="55">
        <v>209069000</v>
      </c>
      <c r="V1239" s="55">
        <v>0</v>
      </c>
      <c r="W1239" s="55">
        <v>209069000</v>
      </c>
      <c r="X1239" s="55">
        <v>8692000</v>
      </c>
      <c r="Y1239" s="55">
        <v>0</v>
      </c>
      <c r="Z1239" s="55">
        <v>8692000</v>
      </c>
      <c r="AA1239" s="55">
        <v>340808000</v>
      </c>
      <c r="AB1239" s="55">
        <v>0</v>
      </c>
      <c r="AC1239" s="55">
        <v>340808000</v>
      </c>
      <c r="AD1239" s="55">
        <v>621906000</v>
      </c>
      <c r="AE1239" s="55">
        <v>0</v>
      </c>
      <c r="AF1239" s="55">
        <v>621906000</v>
      </c>
      <c r="AG1239" s="55">
        <v>0</v>
      </c>
      <c r="AH1239" s="55">
        <v>0</v>
      </c>
      <c r="AI1239" s="55">
        <v>0</v>
      </c>
      <c r="AJ1239" s="55">
        <v>6039288</v>
      </c>
      <c r="AK1239" s="55">
        <v>0</v>
      </c>
      <c r="AL1239" s="55">
        <v>44933</v>
      </c>
      <c r="AM1239" s="55">
        <v>3572</v>
      </c>
      <c r="AN1239" s="55">
        <v>10799250</v>
      </c>
      <c r="AO1239" s="55">
        <v>9644400</v>
      </c>
      <c r="AQ1239" s="55">
        <v>37348442708600</v>
      </c>
      <c r="AR1239" s="55">
        <v>113463880160</v>
      </c>
      <c r="AS1239" s="55">
        <v>61726826040</v>
      </c>
      <c r="AT1239" s="55">
        <v>156761756040</v>
      </c>
      <c r="AU1239" s="55">
        <f t="shared" si="832"/>
        <v>52142704</v>
      </c>
      <c r="AV1239" s="99">
        <f t="shared" si="833"/>
        <v>49454316575.614441</v>
      </c>
    </row>
    <row r="1240" spans="1:48">
      <c r="A1240" s="92">
        <v>45490</v>
      </c>
      <c r="B1240" s="55">
        <v>245382095000</v>
      </c>
      <c r="C1240" s="55">
        <v>3173345000</v>
      </c>
      <c r="D1240" s="55">
        <v>0</v>
      </c>
      <c r="E1240" s="55">
        <v>0</v>
      </c>
      <c r="F1240" s="55">
        <v>248555440000</v>
      </c>
      <c r="G1240" s="55">
        <v>67109969</v>
      </c>
      <c r="H1240" s="55">
        <v>27847946000</v>
      </c>
      <c r="I1240" s="55">
        <v>18383400000</v>
      </c>
      <c r="J1240" s="55">
        <v>46231346000</v>
      </c>
      <c r="L1240" s="55">
        <v>75852301000</v>
      </c>
      <c r="M1240" s="55">
        <v>6624600000</v>
      </c>
      <c r="N1240" s="55">
        <v>82476901000</v>
      </c>
      <c r="O1240" s="55">
        <v>24488467000</v>
      </c>
      <c r="P1240" s="55">
        <v>1261020000</v>
      </c>
      <c r="Q1240" s="55">
        <v>25749487000</v>
      </c>
      <c r="R1240" s="55">
        <v>1311399000</v>
      </c>
      <c r="S1240" s="55">
        <v>0</v>
      </c>
      <c r="T1240" s="55">
        <v>1311399000</v>
      </c>
      <c r="U1240" s="55">
        <v>346051000</v>
      </c>
      <c r="V1240" s="55">
        <v>0</v>
      </c>
      <c r="W1240" s="55">
        <v>346051000</v>
      </c>
      <c r="X1240" s="55">
        <v>2602000</v>
      </c>
      <c r="Y1240" s="55">
        <v>0</v>
      </c>
      <c r="Z1240" s="55">
        <v>2602000</v>
      </c>
      <c r="AA1240" s="55">
        <v>2276041000</v>
      </c>
      <c r="AB1240" s="55">
        <v>0</v>
      </c>
      <c r="AC1240" s="55">
        <v>2276041000</v>
      </c>
      <c r="AD1240" s="55">
        <v>382692000</v>
      </c>
      <c r="AE1240" s="55">
        <v>0</v>
      </c>
      <c r="AF1240" s="55">
        <v>382692000</v>
      </c>
      <c r="AG1240" s="55">
        <v>0</v>
      </c>
      <c r="AH1240" s="55">
        <v>0</v>
      </c>
      <c r="AI1240" s="55">
        <v>0</v>
      </c>
      <c r="AJ1240" s="55">
        <v>19039233</v>
      </c>
      <c r="AK1240" s="55">
        <v>0</v>
      </c>
      <c r="AL1240" s="55">
        <v>44933</v>
      </c>
      <c r="AM1240" s="55">
        <v>3745</v>
      </c>
      <c r="AN1240" s="55">
        <v>10628400</v>
      </c>
      <c r="AO1240" s="55">
        <v>10111500</v>
      </c>
      <c r="AQ1240" s="55">
        <v>66162494289400</v>
      </c>
      <c r="AR1240" s="55">
        <v>356418852660</v>
      </c>
      <c r="AS1240" s="55">
        <v>190023003000</v>
      </c>
      <c r="AT1240" s="55">
        <v>438578443000</v>
      </c>
      <c r="AU1240" s="55">
        <f t="shared" si="832"/>
        <v>106889102</v>
      </c>
      <c r="AV1240" s="99">
        <f t="shared" si="833"/>
        <v>49561205677.614441</v>
      </c>
    </row>
    <row r="1241" spans="1:48">
      <c r="A1241" s="92">
        <v>45491</v>
      </c>
      <c r="B1241" s="55">
        <v>395970031000</v>
      </c>
      <c r="C1241" s="55">
        <v>0</v>
      </c>
      <c r="D1241" s="55">
        <v>0</v>
      </c>
      <c r="E1241" s="55">
        <v>0</v>
      </c>
      <c r="F1241" s="55">
        <v>395970031000</v>
      </c>
      <c r="G1241" s="55">
        <v>106911908</v>
      </c>
      <c r="H1241" s="55">
        <v>15811856000</v>
      </c>
      <c r="I1241" s="55">
        <v>20361600000</v>
      </c>
      <c r="J1241" s="55">
        <v>36173456000</v>
      </c>
      <c r="L1241" s="55">
        <v>19069751000</v>
      </c>
      <c r="M1241" s="55">
        <v>16327000000</v>
      </c>
      <c r="N1241" s="55">
        <v>35396751000</v>
      </c>
      <c r="O1241" s="55">
        <v>28131761000</v>
      </c>
      <c r="P1241" s="55">
        <v>0</v>
      </c>
      <c r="Q1241" s="55">
        <v>28131761000</v>
      </c>
      <c r="R1241" s="55">
        <v>3615577000</v>
      </c>
      <c r="S1241" s="55">
        <v>0</v>
      </c>
      <c r="T1241" s="55">
        <v>3615577000</v>
      </c>
      <c r="U1241" s="55">
        <v>457338000</v>
      </c>
      <c r="V1241" s="55">
        <v>0</v>
      </c>
      <c r="W1241" s="55">
        <v>457338000</v>
      </c>
      <c r="X1241" s="55">
        <v>43415000</v>
      </c>
      <c r="Y1241" s="55">
        <v>0</v>
      </c>
      <c r="Z1241" s="55">
        <v>43415000</v>
      </c>
      <c r="AA1241" s="55">
        <v>1257764000</v>
      </c>
      <c r="AB1241" s="55">
        <v>0</v>
      </c>
      <c r="AC1241" s="55">
        <v>1257764000</v>
      </c>
      <c r="AD1241" s="55">
        <v>2504000</v>
      </c>
      <c r="AE1241" s="55">
        <v>0</v>
      </c>
      <c r="AF1241" s="55">
        <v>2504000</v>
      </c>
      <c r="AG1241" s="55">
        <v>0</v>
      </c>
      <c r="AH1241" s="55">
        <v>0</v>
      </c>
      <c r="AI1241" s="55">
        <v>0</v>
      </c>
      <c r="AJ1241" s="55">
        <v>13990064</v>
      </c>
      <c r="AK1241" s="55">
        <v>0</v>
      </c>
      <c r="AL1241" s="55">
        <v>44933</v>
      </c>
      <c r="AM1241" s="55">
        <v>7674</v>
      </c>
      <c r="AN1241" s="55">
        <v>14387100</v>
      </c>
      <c r="AO1241" s="55">
        <v>20719800</v>
      </c>
      <c r="AQ1241" s="55">
        <v>42911910898000</v>
      </c>
      <c r="AR1241" s="55">
        <v>240777700000</v>
      </c>
      <c r="AS1241" s="55">
        <v>142736124000</v>
      </c>
      <c r="AT1241" s="55">
        <v>538129555000</v>
      </c>
      <c r="AU1241" s="55">
        <f t="shared" si="832"/>
        <v>156008872</v>
      </c>
      <c r="AV1241" s="99">
        <f t="shared" si="833"/>
        <v>49717214549.614441</v>
      </c>
    </row>
    <row r="1242" spans="1:48">
      <c r="A1242" s="92">
        <v>45492</v>
      </c>
      <c r="B1242" s="55">
        <v>117276387000.77008</v>
      </c>
      <c r="C1242" s="55">
        <v>0</v>
      </c>
      <c r="D1242" s="55">
        <v>0</v>
      </c>
      <c r="E1242" s="55">
        <v>0</v>
      </c>
      <c r="F1242" s="55">
        <v>117276387000.77008</v>
      </c>
      <c r="G1242" s="55">
        <v>31664624</v>
      </c>
      <c r="H1242" s="55">
        <v>14628727000</v>
      </c>
      <c r="I1242" s="55">
        <v>4577600000</v>
      </c>
      <c r="J1242" s="55">
        <v>19206327000</v>
      </c>
      <c r="L1242" s="55">
        <v>27641864000</v>
      </c>
      <c r="M1242" s="55">
        <v>0</v>
      </c>
      <c r="N1242" s="55">
        <v>27641864000</v>
      </c>
      <c r="O1242" s="55">
        <v>9712298000</v>
      </c>
      <c r="P1242" s="55">
        <v>2753920000</v>
      </c>
      <c r="Q1242" s="55">
        <v>12466218000</v>
      </c>
      <c r="R1242" s="55">
        <v>2452604000</v>
      </c>
      <c r="S1242" s="55">
        <v>0</v>
      </c>
      <c r="T1242" s="55">
        <v>2452604000</v>
      </c>
      <c r="U1242" s="55">
        <v>74640000</v>
      </c>
      <c r="V1242" s="55">
        <v>0</v>
      </c>
      <c r="W1242" s="55">
        <v>74640000</v>
      </c>
      <c r="X1242" s="55">
        <v>10436000</v>
      </c>
      <c r="Y1242" s="55">
        <v>0</v>
      </c>
      <c r="Z1242" s="55">
        <v>10436000</v>
      </c>
      <c r="AA1242" s="55">
        <v>595582000</v>
      </c>
      <c r="AB1242" s="55">
        <v>0</v>
      </c>
      <c r="AC1242" s="55">
        <v>595582000</v>
      </c>
      <c r="AD1242" s="55">
        <v>363372000</v>
      </c>
      <c r="AE1242" s="55">
        <v>0</v>
      </c>
      <c r="AF1242" s="55">
        <v>363372000</v>
      </c>
      <c r="AG1242" s="55">
        <v>0</v>
      </c>
      <c r="AH1242" s="55">
        <v>0</v>
      </c>
      <c r="AI1242" s="55">
        <v>0</v>
      </c>
      <c r="AJ1242" s="55">
        <v>7311462</v>
      </c>
      <c r="AK1242" s="55">
        <v>0</v>
      </c>
      <c r="AL1242" s="55">
        <v>44933</v>
      </c>
      <c r="AM1242" s="55">
        <v>1315</v>
      </c>
      <c r="AN1242" s="55">
        <v>41638950</v>
      </c>
      <c r="AO1242" s="55">
        <v>3550500</v>
      </c>
      <c r="AQ1242" s="55">
        <v>41097467388200</v>
      </c>
      <c r="AR1242" s="55">
        <v>154882348080</v>
      </c>
      <c r="AS1242" s="55">
        <v>70361087000</v>
      </c>
      <c r="AT1242" s="55">
        <v>187637474000.77008</v>
      </c>
      <c r="AU1242" s="55">
        <f t="shared" si="832"/>
        <v>84165536</v>
      </c>
      <c r="AV1242" s="99">
        <f t="shared" si="833"/>
        <v>49801380085.614441</v>
      </c>
    </row>
    <row r="1243" spans="1:48">
      <c r="A1243" s="92">
        <v>45495</v>
      </c>
      <c r="B1243" s="55">
        <v>254333667000</v>
      </c>
      <c r="C1243" s="55">
        <v>0</v>
      </c>
      <c r="D1243" s="55">
        <v>0</v>
      </c>
      <c r="E1243" s="55">
        <v>0</v>
      </c>
      <c r="F1243" s="55">
        <v>254333667000</v>
      </c>
      <c r="G1243" s="55">
        <v>68670090</v>
      </c>
      <c r="H1243" s="55">
        <v>312880000</v>
      </c>
      <c r="I1243" s="55">
        <v>0</v>
      </c>
      <c r="J1243" s="55">
        <v>312880000</v>
      </c>
      <c r="L1243" s="55">
        <v>44394003000</v>
      </c>
      <c r="M1243" s="55">
        <v>0</v>
      </c>
      <c r="N1243" s="55">
        <v>44394003000</v>
      </c>
      <c r="O1243" s="55">
        <v>18201706000</v>
      </c>
      <c r="P1243" s="55">
        <v>0</v>
      </c>
      <c r="Q1243" s="55">
        <v>18201706000</v>
      </c>
      <c r="R1243" s="55">
        <v>3052494000</v>
      </c>
      <c r="S1243" s="55">
        <v>0</v>
      </c>
      <c r="T1243" s="55">
        <v>3052494000</v>
      </c>
      <c r="U1243" s="55">
        <v>185669000</v>
      </c>
      <c r="V1243" s="55">
        <v>0</v>
      </c>
      <c r="W1243" s="55">
        <v>185669000</v>
      </c>
      <c r="X1243" s="55">
        <v>16449000</v>
      </c>
      <c r="Y1243" s="55">
        <v>12915000000</v>
      </c>
      <c r="Z1243" s="55">
        <v>12931449000</v>
      </c>
      <c r="AA1243" s="55">
        <v>1061327000</v>
      </c>
      <c r="AB1243" s="55">
        <v>0</v>
      </c>
      <c r="AC1243" s="55">
        <v>1061327000</v>
      </c>
      <c r="AD1243" s="55">
        <v>2503000</v>
      </c>
      <c r="AE1243" s="55">
        <v>0</v>
      </c>
      <c r="AF1243" s="55">
        <v>2503000</v>
      </c>
      <c r="AG1243" s="55">
        <v>0</v>
      </c>
      <c r="AH1243" s="55">
        <v>0</v>
      </c>
      <c r="AI1243" s="55">
        <v>0</v>
      </c>
      <c r="AJ1243" s="55">
        <v>9585219</v>
      </c>
      <c r="AK1243" s="55">
        <v>0</v>
      </c>
      <c r="AL1243" s="55">
        <v>44933</v>
      </c>
      <c r="AM1243" s="55">
        <v>2399</v>
      </c>
      <c r="AN1243" s="55">
        <v>12724500</v>
      </c>
      <c r="AO1243" s="55">
        <v>6477300</v>
      </c>
      <c r="AQ1243" s="55">
        <v>47740295905000</v>
      </c>
      <c r="AR1243" s="55">
        <v>189509614840</v>
      </c>
      <c r="AS1243" s="55">
        <v>93605649000</v>
      </c>
      <c r="AT1243" s="55">
        <v>347930808000</v>
      </c>
      <c r="AU1243" s="55">
        <f t="shared" si="832"/>
        <v>97457109</v>
      </c>
      <c r="AV1243" s="99">
        <f t="shared" si="833"/>
        <v>49898837194.614441</v>
      </c>
    </row>
    <row r="1244" spans="1:48">
      <c r="A1244" s="92">
        <v>45496</v>
      </c>
      <c r="B1244" s="55">
        <v>221024455000</v>
      </c>
      <c r="C1244" s="55">
        <v>0</v>
      </c>
      <c r="D1244" s="55">
        <v>0</v>
      </c>
      <c r="E1244" s="55">
        <v>0</v>
      </c>
      <c r="F1244" s="55">
        <v>221024455000</v>
      </c>
      <c r="G1244" s="55">
        <v>59676603</v>
      </c>
      <c r="H1244" s="55">
        <v>5506257000</v>
      </c>
      <c r="I1244" s="55">
        <v>9039000000</v>
      </c>
      <c r="J1244" s="55">
        <v>14545257000</v>
      </c>
      <c r="L1244" s="55">
        <v>62766546000</v>
      </c>
      <c r="M1244" s="55">
        <v>0</v>
      </c>
      <c r="N1244" s="55">
        <v>62766546000</v>
      </c>
      <c r="O1244" s="55">
        <v>22047978000</v>
      </c>
      <c r="P1244" s="55">
        <v>0</v>
      </c>
      <c r="Q1244" s="55">
        <v>22047978000</v>
      </c>
      <c r="R1244" s="55">
        <v>1374546000</v>
      </c>
      <c r="S1244" s="55">
        <v>0</v>
      </c>
      <c r="T1244" s="55">
        <v>1374546000</v>
      </c>
      <c r="U1244" s="55">
        <v>262857000</v>
      </c>
      <c r="V1244" s="55">
        <v>0</v>
      </c>
      <c r="W1244" s="55">
        <v>262857000</v>
      </c>
      <c r="X1244" s="55">
        <v>12068000</v>
      </c>
      <c r="Y1244" s="55">
        <v>0</v>
      </c>
      <c r="Z1244" s="55">
        <v>12068000</v>
      </c>
      <c r="AA1244" s="55">
        <v>606920000</v>
      </c>
      <c r="AB1244" s="55">
        <v>0</v>
      </c>
      <c r="AC1244" s="55">
        <v>606920000</v>
      </c>
      <c r="AD1244" s="55">
        <v>2475000</v>
      </c>
      <c r="AE1244" s="55">
        <v>0</v>
      </c>
      <c r="AF1244" s="55">
        <v>2475000</v>
      </c>
      <c r="AG1244" s="55">
        <v>0</v>
      </c>
      <c r="AH1244" s="55">
        <v>0</v>
      </c>
      <c r="AI1244" s="55">
        <v>0</v>
      </c>
      <c r="AJ1244" s="55">
        <v>11625622</v>
      </c>
      <c r="AK1244" s="55">
        <v>0</v>
      </c>
      <c r="AL1244" s="55">
        <v>44933</v>
      </c>
      <c r="AM1244" s="55">
        <v>2181</v>
      </c>
      <c r="AN1244" s="55">
        <v>14160150</v>
      </c>
      <c r="AO1244" s="55">
        <v>5888700</v>
      </c>
      <c r="AQ1244" s="55">
        <v>40449225625400</v>
      </c>
      <c r="AR1244" s="55">
        <v>250215596080</v>
      </c>
      <c r="AS1244" s="55">
        <v>111286222000</v>
      </c>
      <c r="AT1244" s="55">
        <v>334476408000</v>
      </c>
      <c r="AU1244" s="55">
        <f t="shared" si="832"/>
        <v>91351075</v>
      </c>
      <c r="AV1244" s="99">
        <f t="shared" si="833"/>
        <v>49990188269.614441</v>
      </c>
    </row>
    <row r="1245" spans="1:48">
      <c r="A1245" s="92">
        <v>45497</v>
      </c>
      <c r="B1245" s="55">
        <v>307287804000</v>
      </c>
      <c r="C1245" s="55">
        <v>0</v>
      </c>
      <c r="D1245" s="55">
        <v>0</v>
      </c>
      <c r="E1245" s="55">
        <v>1848110000</v>
      </c>
      <c r="F1245" s="55">
        <v>309135914000</v>
      </c>
      <c r="G1245" s="55">
        <v>83466697</v>
      </c>
      <c r="H1245" s="55">
        <v>2471557000</v>
      </c>
      <c r="I1245" s="55">
        <v>37885000000</v>
      </c>
      <c r="J1245" s="55">
        <v>40356557000</v>
      </c>
      <c r="L1245" s="55">
        <v>7243948000</v>
      </c>
      <c r="M1245" s="55">
        <v>3196200000</v>
      </c>
      <c r="N1245" s="55">
        <v>10440148000</v>
      </c>
      <c r="O1245" s="55">
        <v>8555178000</v>
      </c>
      <c r="P1245" s="55">
        <v>409280000</v>
      </c>
      <c r="Q1245" s="55">
        <v>8964458000</v>
      </c>
      <c r="R1245" s="55">
        <v>6757133000</v>
      </c>
      <c r="S1245" s="55">
        <v>0</v>
      </c>
      <c r="T1245" s="55">
        <v>6757133000</v>
      </c>
      <c r="U1245" s="55">
        <v>926916000</v>
      </c>
      <c r="V1245" s="55">
        <v>0</v>
      </c>
      <c r="W1245" s="55">
        <v>926916000</v>
      </c>
      <c r="X1245" s="55">
        <v>852000</v>
      </c>
      <c r="Y1245" s="55">
        <v>102337500000</v>
      </c>
      <c r="Z1245" s="55">
        <v>102338352000</v>
      </c>
      <c r="AA1245" s="55">
        <v>2359851000</v>
      </c>
      <c r="AB1245" s="55">
        <v>1984070000</v>
      </c>
      <c r="AC1245" s="55">
        <v>4343921000</v>
      </c>
      <c r="AD1245" s="55">
        <v>3657000</v>
      </c>
      <c r="AE1245" s="55">
        <v>0</v>
      </c>
      <c r="AF1245" s="55">
        <v>3657000</v>
      </c>
      <c r="AG1245" s="55">
        <v>0</v>
      </c>
      <c r="AH1245" s="55">
        <v>672500000</v>
      </c>
      <c r="AI1245" s="55">
        <v>672500000</v>
      </c>
      <c r="AJ1245" s="55">
        <v>29425681</v>
      </c>
      <c r="AK1245" s="55">
        <v>0</v>
      </c>
      <c r="AL1245" s="55">
        <v>44933</v>
      </c>
      <c r="AM1245" s="55">
        <v>2167</v>
      </c>
      <c r="AN1245" s="55">
        <v>16850400</v>
      </c>
      <c r="AO1245" s="55">
        <v>5850900</v>
      </c>
      <c r="AQ1245" s="55">
        <v>39967604814000</v>
      </c>
      <c r="AR1245" s="55">
        <v>375497214480</v>
      </c>
      <c r="AS1245" s="55">
        <v>321778771000</v>
      </c>
      <c r="AT1245" s="55">
        <v>630914685000</v>
      </c>
      <c r="AU1245" s="55">
        <f t="shared" si="832"/>
        <v>135593678</v>
      </c>
      <c r="AV1245" s="99">
        <f t="shared" si="833"/>
        <v>50125781947.614441</v>
      </c>
    </row>
    <row r="1246" spans="1:48">
      <c r="A1246" s="92">
        <v>45498</v>
      </c>
      <c r="B1246" s="55">
        <v>108768547000</v>
      </c>
      <c r="C1246" s="55">
        <v>0</v>
      </c>
      <c r="D1246" s="55">
        <v>0</v>
      </c>
      <c r="E1246" s="55">
        <v>7387210000</v>
      </c>
      <c r="F1246" s="55">
        <v>116155757000</v>
      </c>
      <c r="G1246" s="55">
        <v>31362054</v>
      </c>
      <c r="H1246" s="55">
        <v>12763713000</v>
      </c>
      <c r="I1246" s="55">
        <v>26607900000</v>
      </c>
      <c r="J1246" s="55">
        <v>39371613000</v>
      </c>
      <c r="L1246" s="55">
        <v>7001382000</v>
      </c>
      <c r="M1246" s="55">
        <v>0</v>
      </c>
      <c r="N1246" s="55">
        <v>7001382000</v>
      </c>
      <c r="O1246" s="55">
        <v>12192675000</v>
      </c>
      <c r="P1246" s="55">
        <v>0</v>
      </c>
      <c r="Q1246" s="55">
        <v>12192675000</v>
      </c>
      <c r="R1246" s="55">
        <v>1694461000</v>
      </c>
      <c r="S1246" s="55">
        <v>0</v>
      </c>
      <c r="T1246" s="55">
        <v>1694461000</v>
      </c>
      <c r="U1246" s="55">
        <v>117382000</v>
      </c>
      <c r="V1246" s="55">
        <v>0</v>
      </c>
      <c r="W1246" s="55">
        <v>117382000</v>
      </c>
      <c r="X1246" s="55">
        <v>0</v>
      </c>
      <c r="Y1246" s="55">
        <v>10169600000</v>
      </c>
      <c r="Z1246" s="55">
        <v>10169600000</v>
      </c>
      <c r="AA1246" s="55">
        <v>92436000</v>
      </c>
      <c r="AB1246" s="55">
        <v>1987640000</v>
      </c>
      <c r="AC1246" s="55">
        <v>2080076000</v>
      </c>
      <c r="AD1246" s="55">
        <v>7263000</v>
      </c>
      <c r="AE1246" s="55">
        <v>0</v>
      </c>
      <c r="AF1246" s="55">
        <v>7263000</v>
      </c>
      <c r="AG1246" s="55">
        <v>0</v>
      </c>
      <c r="AH1246" s="55">
        <v>673400000</v>
      </c>
      <c r="AI1246" s="55">
        <v>673400000</v>
      </c>
      <c r="AJ1246" s="55">
        <v>10756823</v>
      </c>
      <c r="AK1246" s="55">
        <v>0</v>
      </c>
      <c r="AL1246" s="55">
        <v>44933</v>
      </c>
      <c r="AM1246" s="55">
        <v>1269</v>
      </c>
      <c r="AN1246" s="55">
        <v>16378650</v>
      </c>
      <c r="AO1246" s="55">
        <v>3426300</v>
      </c>
      <c r="AQ1246" s="55">
        <v>25855773038000</v>
      </c>
      <c r="AR1246" s="55">
        <v>174887524260</v>
      </c>
      <c r="AS1246" s="55">
        <v>113390046000</v>
      </c>
      <c r="AT1246" s="55">
        <v>229545803000</v>
      </c>
      <c r="AU1246" s="55">
        <f t="shared" si="832"/>
        <v>61923827</v>
      </c>
      <c r="AV1246" s="99">
        <f t="shared" si="833"/>
        <v>50187705774.614441</v>
      </c>
    </row>
    <row r="1247" spans="1:48">
      <c r="A1247" s="92">
        <v>45499</v>
      </c>
      <c r="B1247" s="55">
        <v>132249730000</v>
      </c>
      <c r="C1247" s="55">
        <v>0</v>
      </c>
      <c r="D1247" s="55">
        <v>0</v>
      </c>
      <c r="E1247" s="55">
        <v>7359120000</v>
      </c>
      <c r="F1247" s="55">
        <v>139608850000</v>
      </c>
      <c r="G1247" s="55">
        <v>37694390</v>
      </c>
      <c r="H1247" s="55">
        <v>472903000</v>
      </c>
      <c r="I1247" s="55">
        <v>4452000000</v>
      </c>
      <c r="J1247" s="55">
        <v>4924903000</v>
      </c>
      <c r="L1247" s="55">
        <v>442870000</v>
      </c>
      <c r="M1247" s="55">
        <v>0</v>
      </c>
      <c r="N1247" s="55">
        <v>442870000</v>
      </c>
      <c r="O1247" s="55">
        <v>14358000</v>
      </c>
      <c r="P1247" s="55">
        <v>0</v>
      </c>
      <c r="Q1247" s="55">
        <v>14358000</v>
      </c>
      <c r="R1247" s="55">
        <v>2338254000</v>
      </c>
      <c r="S1247" s="55">
        <v>0</v>
      </c>
      <c r="T1247" s="55">
        <v>2338254000</v>
      </c>
      <c r="U1247" s="55">
        <v>291194000</v>
      </c>
      <c r="V1247" s="55">
        <v>0</v>
      </c>
      <c r="W1247" s="55">
        <v>291194000</v>
      </c>
      <c r="X1247" s="55">
        <v>0</v>
      </c>
      <c r="Y1247" s="55">
        <v>0</v>
      </c>
      <c r="Z1247" s="55">
        <v>0</v>
      </c>
      <c r="AA1247" s="55">
        <v>147348000</v>
      </c>
      <c r="AB1247" s="55">
        <v>0</v>
      </c>
      <c r="AC1247" s="55">
        <v>147348000</v>
      </c>
      <c r="AD1247" s="55">
        <v>7302000</v>
      </c>
      <c r="AE1247" s="55">
        <v>0</v>
      </c>
      <c r="AF1247" s="55">
        <v>7302000</v>
      </c>
      <c r="AG1247" s="55">
        <v>0</v>
      </c>
      <c r="AH1247" s="55">
        <v>0</v>
      </c>
      <c r="AI1247" s="55">
        <v>0</v>
      </c>
      <c r="AJ1247" s="55">
        <v>1202497</v>
      </c>
      <c r="AK1247" s="55">
        <v>0</v>
      </c>
      <c r="AL1247" s="55">
        <v>44933</v>
      </c>
      <c r="AM1247" s="55">
        <v>1189</v>
      </c>
      <c r="AN1247" s="55">
        <v>49327200</v>
      </c>
      <c r="AO1247" s="55">
        <v>3210300</v>
      </c>
      <c r="AQ1247" s="55">
        <v>26307865247000</v>
      </c>
      <c r="AR1247" s="55">
        <v>56948112840</v>
      </c>
      <c r="AS1247" s="55">
        <v>12942728000</v>
      </c>
      <c r="AT1247" s="55">
        <v>152551578000</v>
      </c>
      <c r="AU1247" s="55">
        <f t="shared" si="832"/>
        <v>91434387</v>
      </c>
      <c r="AV1247" s="99">
        <f t="shared" si="833"/>
        <v>50279140161.614441</v>
      </c>
    </row>
    <row r="1248" spans="1:48">
      <c r="A1248" s="92">
        <v>45502</v>
      </c>
      <c r="B1248" s="55">
        <v>56500663000</v>
      </c>
      <c r="C1248" s="55">
        <v>0</v>
      </c>
      <c r="D1248" s="55">
        <v>0</v>
      </c>
      <c r="E1248" s="55">
        <v>2470600000</v>
      </c>
      <c r="F1248" s="55">
        <v>58971263000</v>
      </c>
      <c r="G1248" s="55">
        <v>15922241</v>
      </c>
      <c r="H1248" s="55">
        <v>162289000</v>
      </c>
      <c r="I1248" s="55">
        <v>0</v>
      </c>
      <c r="J1248" s="55">
        <v>162289000</v>
      </c>
      <c r="L1248" s="55">
        <v>22546579000</v>
      </c>
      <c r="M1248" s="55">
        <v>0</v>
      </c>
      <c r="N1248" s="55">
        <v>22546579000</v>
      </c>
      <c r="O1248" s="55">
        <v>2843192000</v>
      </c>
      <c r="P1248" s="55">
        <v>4098200000</v>
      </c>
      <c r="Q1248" s="55">
        <v>6941392000</v>
      </c>
      <c r="R1248" s="55">
        <v>393175000</v>
      </c>
      <c r="S1248" s="55">
        <v>0</v>
      </c>
      <c r="T1248" s="55">
        <v>393175000</v>
      </c>
      <c r="U1248" s="55">
        <v>319899000</v>
      </c>
      <c r="V1248" s="55">
        <v>0</v>
      </c>
      <c r="W1248" s="55">
        <v>319899000</v>
      </c>
      <c r="X1248" s="55">
        <v>14604000</v>
      </c>
      <c r="Y1248" s="55">
        <v>0</v>
      </c>
      <c r="Z1248" s="55">
        <v>14604000</v>
      </c>
      <c r="AA1248" s="55">
        <v>46340000</v>
      </c>
      <c r="AB1248" s="55">
        <v>0</v>
      </c>
      <c r="AC1248" s="55">
        <v>46340000</v>
      </c>
      <c r="AD1248" s="55">
        <v>0</v>
      </c>
      <c r="AE1248" s="55">
        <v>0</v>
      </c>
      <c r="AF1248" s="55">
        <v>0</v>
      </c>
      <c r="AG1248" s="55">
        <v>0</v>
      </c>
      <c r="AH1248" s="55">
        <v>0</v>
      </c>
      <c r="AI1248" s="55">
        <v>0</v>
      </c>
      <c r="AJ1248" s="55">
        <v>3580892</v>
      </c>
      <c r="AK1248" s="55">
        <v>0</v>
      </c>
      <c r="AL1248" s="55">
        <v>44933</v>
      </c>
      <c r="AM1248" s="55">
        <v>597</v>
      </c>
      <c r="AN1248" s="55">
        <v>15787050</v>
      </c>
      <c r="AO1248" s="55">
        <v>1611900</v>
      </c>
      <c r="AQ1248" s="55">
        <v>25846230010400</v>
      </c>
      <c r="AR1248" s="55">
        <v>77794276480</v>
      </c>
      <c r="AS1248" s="55">
        <v>34612897000</v>
      </c>
      <c r="AT1248" s="55">
        <v>93584160000</v>
      </c>
      <c r="AU1248" s="55">
        <f t="shared" si="832"/>
        <v>36902083</v>
      </c>
      <c r="AV1248" s="99">
        <f t="shared" si="833"/>
        <v>50316042244.614441</v>
      </c>
    </row>
    <row r="1249" spans="1:48">
      <c r="A1249" s="92">
        <v>45503</v>
      </c>
      <c r="B1249" s="55">
        <v>135066996000</v>
      </c>
      <c r="C1249" s="55">
        <v>0</v>
      </c>
      <c r="D1249" s="55">
        <v>0</v>
      </c>
      <c r="E1249" s="55">
        <v>0</v>
      </c>
      <c r="F1249" s="55">
        <v>135066996000</v>
      </c>
      <c r="G1249" s="55">
        <v>36468089</v>
      </c>
      <c r="H1249" s="55">
        <v>5080977000</v>
      </c>
      <c r="I1249" s="55">
        <v>2244900000</v>
      </c>
      <c r="J1249" s="55">
        <v>7325877000</v>
      </c>
      <c r="L1249" s="55">
        <v>26283961000</v>
      </c>
      <c r="M1249" s="55">
        <v>0</v>
      </c>
      <c r="N1249" s="55">
        <v>26283961000</v>
      </c>
      <c r="O1249" s="55">
        <v>14343000</v>
      </c>
      <c r="P1249" s="55">
        <v>0</v>
      </c>
      <c r="Q1249" s="55">
        <v>14343000</v>
      </c>
      <c r="R1249" s="55">
        <v>946146000</v>
      </c>
      <c r="S1249" s="55">
        <v>0</v>
      </c>
      <c r="T1249" s="55">
        <v>946146000</v>
      </c>
      <c r="U1249" s="55">
        <v>472039000</v>
      </c>
      <c r="V1249" s="55">
        <v>0</v>
      </c>
      <c r="W1249" s="55">
        <v>472039000</v>
      </c>
      <c r="X1249" s="55">
        <v>3432000</v>
      </c>
      <c r="Y1249" s="55">
        <v>25722000000</v>
      </c>
      <c r="Z1249" s="55">
        <v>25725432000</v>
      </c>
      <c r="AA1249" s="55">
        <v>112106000</v>
      </c>
      <c r="AB1249" s="55">
        <v>0</v>
      </c>
      <c r="AC1249" s="55">
        <v>112106000</v>
      </c>
      <c r="AD1249" s="55">
        <v>1217000</v>
      </c>
      <c r="AE1249" s="55">
        <v>0</v>
      </c>
      <c r="AF1249" s="55">
        <v>1217000</v>
      </c>
      <c r="AG1249" s="55">
        <v>0</v>
      </c>
      <c r="AH1249" s="55">
        <v>0</v>
      </c>
      <c r="AI1249" s="55">
        <v>0</v>
      </c>
      <c r="AJ1249" s="55">
        <v>8588778</v>
      </c>
      <c r="AK1249" s="55">
        <v>0</v>
      </c>
      <c r="AL1249" s="55">
        <v>44933</v>
      </c>
      <c r="AM1249" s="55">
        <v>1043</v>
      </c>
      <c r="AN1249" s="55">
        <v>15289800</v>
      </c>
      <c r="AO1249" s="55">
        <v>2816100</v>
      </c>
      <c r="AQ1249" s="55">
        <v>31066863916640</v>
      </c>
      <c r="AR1249" s="55">
        <v>160683301380</v>
      </c>
      <c r="AS1249" s="55">
        <v>89150419000</v>
      </c>
      <c r="AT1249" s="55">
        <v>226524375000</v>
      </c>
      <c r="AU1249" s="55">
        <f t="shared" si="832"/>
        <v>63162767</v>
      </c>
      <c r="AV1249" s="99">
        <f t="shared" si="833"/>
        <v>50379205011.614441</v>
      </c>
    </row>
    <row r="1250" spans="1:48">
      <c r="A1250" s="92">
        <v>45504</v>
      </c>
      <c r="B1250" s="55">
        <v>162091994000</v>
      </c>
      <c r="C1250" s="55">
        <v>0</v>
      </c>
      <c r="D1250" s="55">
        <v>0</v>
      </c>
      <c r="E1250" s="55">
        <v>0</v>
      </c>
      <c r="F1250" s="55">
        <v>162091994000</v>
      </c>
      <c r="G1250" s="55">
        <v>43764838</v>
      </c>
      <c r="H1250" s="55">
        <v>935571000</v>
      </c>
      <c r="I1250" s="55">
        <v>0</v>
      </c>
      <c r="J1250" s="55">
        <v>935571000</v>
      </c>
      <c r="L1250" s="55">
        <v>5021677000</v>
      </c>
      <c r="M1250" s="55">
        <v>0</v>
      </c>
      <c r="N1250" s="55">
        <v>5021677000</v>
      </c>
      <c r="O1250" s="55">
        <v>93111000</v>
      </c>
      <c r="P1250" s="55">
        <v>0</v>
      </c>
      <c r="Q1250" s="55">
        <v>93111000</v>
      </c>
      <c r="R1250" s="55">
        <v>344107000</v>
      </c>
      <c r="S1250" s="55">
        <v>0</v>
      </c>
      <c r="T1250" s="55">
        <v>344107000</v>
      </c>
      <c r="U1250" s="55">
        <v>243482000</v>
      </c>
      <c r="V1250" s="55">
        <v>0</v>
      </c>
      <c r="W1250" s="55">
        <v>243482000</v>
      </c>
      <c r="X1250" s="55">
        <v>6053000</v>
      </c>
      <c r="Y1250" s="55">
        <v>0</v>
      </c>
      <c r="Z1250" s="55">
        <v>6053000</v>
      </c>
      <c r="AA1250" s="55">
        <v>233074000</v>
      </c>
      <c r="AB1250" s="55">
        <v>0</v>
      </c>
      <c r="AC1250" s="55">
        <v>233074000</v>
      </c>
      <c r="AD1250" s="55">
        <v>4904000</v>
      </c>
      <c r="AE1250" s="55">
        <v>0</v>
      </c>
      <c r="AF1250" s="55">
        <v>4904000</v>
      </c>
      <c r="AG1250" s="55">
        <v>0</v>
      </c>
      <c r="AH1250" s="55">
        <v>0</v>
      </c>
      <c r="AI1250" s="55">
        <v>0</v>
      </c>
      <c r="AJ1250" s="55">
        <v>743254</v>
      </c>
      <c r="AK1250" s="55">
        <v>0</v>
      </c>
      <c r="AL1250" s="55">
        <v>44933</v>
      </c>
      <c r="AM1250" s="55">
        <v>1288</v>
      </c>
      <c r="AN1250" s="55">
        <v>13178400</v>
      </c>
      <c r="AO1250" s="55">
        <v>3477600</v>
      </c>
      <c r="AP1250" s="55">
        <v>114411754</v>
      </c>
      <c r="AQ1250" s="55">
        <v>38836789089400</v>
      </c>
      <c r="AR1250" s="55">
        <v>62955494800</v>
      </c>
      <c r="AS1250" s="55">
        <v>8484319000</v>
      </c>
      <c r="AT1250" s="55">
        <v>170516141000</v>
      </c>
      <c r="AU1250" s="55">
        <f t="shared" si="832"/>
        <v>175575846</v>
      </c>
      <c r="AV1250" s="99">
        <f t="shared" si="833"/>
        <v>50554780857.614441</v>
      </c>
    </row>
    <row r="1251" spans="1:48">
      <c r="A1251" s="92">
        <v>45505</v>
      </c>
      <c r="B1251" s="55">
        <v>286110568000.34991</v>
      </c>
      <c r="C1251" s="55">
        <v>0</v>
      </c>
      <c r="D1251" s="55">
        <v>0</v>
      </c>
      <c r="E1251" s="55">
        <v>3752005000</v>
      </c>
      <c r="F1251" s="55">
        <v>289862573000.34991</v>
      </c>
      <c r="G1251" s="55">
        <v>78262895</v>
      </c>
      <c r="H1251" s="55">
        <v>2987705000</v>
      </c>
      <c r="I1251" s="55">
        <v>26790000000</v>
      </c>
      <c r="J1251" s="55">
        <v>29777705000</v>
      </c>
      <c r="L1251" s="55">
        <v>40290022000</v>
      </c>
      <c r="M1251" s="55">
        <v>12968900000</v>
      </c>
      <c r="N1251" s="55">
        <v>53258922000</v>
      </c>
      <c r="O1251" s="55">
        <v>19933994000</v>
      </c>
      <c r="P1251" s="55">
        <v>0</v>
      </c>
      <c r="Q1251" s="55">
        <v>19933994000</v>
      </c>
      <c r="R1251" s="55">
        <v>4083571000</v>
      </c>
      <c r="S1251" s="55">
        <v>0</v>
      </c>
      <c r="T1251" s="55">
        <v>4083571000</v>
      </c>
      <c r="U1251" s="55">
        <v>200640000</v>
      </c>
      <c r="V1251" s="55">
        <v>0</v>
      </c>
      <c r="W1251" s="55">
        <v>200640000</v>
      </c>
      <c r="X1251" s="55">
        <v>4343000</v>
      </c>
      <c r="Y1251" s="55">
        <v>21640000000</v>
      </c>
      <c r="Z1251" s="55">
        <v>21644343000</v>
      </c>
      <c r="AA1251" s="55">
        <v>535098000</v>
      </c>
      <c r="AB1251" s="55">
        <v>0</v>
      </c>
      <c r="AC1251" s="55">
        <v>535098000</v>
      </c>
      <c r="AD1251" s="55">
        <v>7268000</v>
      </c>
      <c r="AE1251" s="55">
        <v>0</v>
      </c>
      <c r="AF1251" s="55">
        <v>7268000</v>
      </c>
      <c r="AG1251" s="55">
        <v>0</v>
      </c>
      <c r="AH1251" s="55">
        <v>0</v>
      </c>
      <c r="AI1251" s="55">
        <v>0</v>
      </c>
      <c r="AJ1251" s="55">
        <v>18400407</v>
      </c>
      <c r="AK1251" s="55">
        <v>0</v>
      </c>
      <c r="AL1251" s="55">
        <v>44933</v>
      </c>
      <c r="AM1251" s="55">
        <v>2621</v>
      </c>
      <c r="AN1251" s="55">
        <v>14670150</v>
      </c>
      <c r="AO1251" s="55">
        <v>7076700</v>
      </c>
      <c r="AQ1251" s="55">
        <v>48427633722400</v>
      </c>
      <c r="AR1251" s="55">
        <v>346250472340</v>
      </c>
      <c r="AS1251" s="55">
        <v>191284508000</v>
      </c>
      <c r="AT1251" s="55">
        <v>481147081000.34991</v>
      </c>
      <c r="AU1251" s="55">
        <f t="shared" si="832"/>
        <v>118410152</v>
      </c>
      <c r="AV1251" s="99">
        <f t="shared" si="833"/>
        <v>50673191009.614441</v>
      </c>
    </row>
    <row r="1252" spans="1:48">
      <c r="A1252" s="92">
        <v>45506</v>
      </c>
      <c r="B1252" s="55">
        <v>114726410000</v>
      </c>
      <c r="C1252" s="55">
        <v>0</v>
      </c>
      <c r="D1252" s="55">
        <v>0</v>
      </c>
      <c r="E1252" s="55">
        <v>0</v>
      </c>
      <c r="F1252" s="55">
        <v>114726410000</v>
      </c>
      <c r="G1252" s="55">
        <v>30976131</v>
      </c>
      <c r="H1252" s="55">
        <v>1552277000</v>
      </c>
      <c r="I1252" s="55">
        <v>24286800000</v>
      </c>
      <c r="J1252" s="55">
        <v>25839077000</v>
      </c>
      <c r="L1252" s="55">
        <v>12820336000</v>
      </c>
      <c r="M1252" s="55">
        <v>12786700000</v>
      </c>
      <c r="N1252" s="55">
        <v>25607036000</v>
      </c>
      <c r="O1252" s="55">
        <v>2443738000</v>
      </c>
      <c r="P1252" s="55">
        <v>0</v>
      </c>
      <c r="Q1252" s="55">
        <v>2443738000</v>
      </c>
      <c r="R1252" s="55">
        <v>5232161000</v>
      </c>
      <c r="S1252" s="55">
        <v>0</v>
      </c>
      <c r="T1252" s="55">
        <v>5232161000</v>
      </c>
      <c r="U1252" s="55">
        <v>344848000</v>
      </c>
      <c r="V1252" s="55">
        <v>0</v>
      </c>
      <c r="W1252" s="55">
        <v>344848000</v>
      </c>
      <c r="X1252" s="55">
        <v>95764000</v>
      </c>
      <c r="Y1252" s="55">
        <v>0</v>
      </c>
      <c r="Z1252" s="55">
        <v>95764000</v>
      </c>
      <c r="AA1252" s="55">
        <v>293471000</v>
      </c>
      <c r="AB1252" s="55">
        <v>0</v>
      </c>
      <c r="AC1252" s="55">
        <v>293471000</v>
      </c>
      <c r="AD1252" s="55">
        <v>7193000</v>
      </c>
      <c r="AE1252" s="55">
        <v>0</v>
      </c>
      <c r="AF1252" s="55">
        <v>7193000</v>
      </c>
      <c r="AG1252" s="55">
        <v>0</v>
      </c>
      <c r="AH1252" s="55">
        <v>0</v>
      </c>
      <c r="AI1252" s="55">
        <v>0</v>
      </c>
      <c r="AJ1252" s="55">
        <v>9134527</v>
      </c>
      <c r="AK1252" s="55">
        <v>0</v>
      </c>
      <c r="AL1252" s="55">
        <v>44933</v>
      </c>
      <c r="AM1252" s="55">
        <v>1566</v>
      </c>
      <c r="AN1252" s="55">
        <v>40506750</v>
      </c>
      <c r="AO1252" s="55">
        <v>4228200</v>
      </c>
      <c r="AQ1252" s="55">
        <v>37175615948400</v>
      </c>
      <c r="AR1252" s="55">
        <v>166726726100</v>
      </c>
      <c r="AS1252" s="55">
        <v>97672675000</v>
      </c>
      <c r="AT1252" s="55">
        <v>212394315000</v>
      </c>
      <c r="AU1252" s="55">
        <f t="shared" ref="AU1252:AU1256" si="834">G1252+AJ1252+AK1252+AN1252+AO1252+AP1252</f>
        <v>84845608</v>
      </c>
      <c r="AV1252" s="99">
        <f t="shared" ref="AV1252:AV1256" si="835">AV1251+AU1252</f>
        <v>50758036617.614441</v>
      </c>
    </row>
    <row r="1253" spans="1:48">
      <c r="A1253" s="92">
        <v>45509</v>
      </c>
      <c r="B1253" s="55">
        <v>167570627000</v>
      </c>
      <c r="C1253" s="55">
        <v>0</v>
      </c>
      <c r="D1253" s="55">
        <v>0</v>
      </c>
      <c r="E1253" s="55">
        <v>0</v>
      </c>
      <c r="F1253" s="55">
        <v>167570627000</v>
      </c>
      <c r="G1253" s="55">
        <v>45244069</v>
      </c>
      <c r="H1253" s="55">
        <v>43636111000</v>
      </c>
      <c r="I1253" s="55">
        <v>104571300000</v>
      </c>
      <c r="J1253" s="55">
        <v>148207411000</v>
      </c>
      <c r="L1253" s="55">
        <v>30824182000</v>
      </c>
      <c r="M1253" s="55">
        <v>21950600000</v>
      </c>
      <c r="N1253" s="55">
        <v>52774782000</v>
      </c>
      <c r="O1253" s="55">
        <v>1626003000</v>
      </c>
      <c r="P1253" s="55">
        <v>0</v>
      </c>
      <c r="Q1253" s="55">
        <v>1626003000</v>
      </c>
      <c r="R1253" s="55">
        <v>4976341000</v>
      </c>
      <c r="S1253" s="55">
        <v>0</v>
      </c>
      <c r="T1253" s="55">
        <v>4976341000</v>
      </c>
      <c r="U1253" s="55">
        <v>1068142000</v>
      </c>
      <c r="V1253" s="55">
        <v>0</v>
      </c>
      <c r="W1253" s="55">
        <v>1068142000</v>
      </c>
      <c r="X1253" s="55">
        <v>3418000</v>
      </c>
      <c r="Y1253" s="55">
        <v>0</v>
      </c>
      <c r="Z1253" s="55">
        <v>3418000</v>
      </c>
      <c r="AA1253" s="55">
        <v>1194770000</v>
      </c>
      <c r="AB1253" s="55">
        <v>0</v>
      </c>
      <c r="AC1253" s="55">
        <v>1194770000</v>
      </c>
      <c r="AD1253" s="55">
        <v>468567000</v>
      </c>
      <c r="AE1253" s="55">
        <v>0</v>
      </c>
      <c r="AF1253" s="55">
        <v>468567000</v>
      </c>
      <c r="AG1253" s="55">
        <v>60060000</v>
      </c>
      <c r="AH1253" s="55">
        <v>0</v>
      </c>
      <c r="AI1253" s="55">
        <v>60060000</v>
      </c>
      <c r="AJ1253" s="55">
        <v>31830562</v>
      </c>
      <c r="AK1253" s="55">
        <v>0</v>
      </c>
      <c r="AL1253" s="55">
        <v>44933</v>
      </c>
      <c r="AM1253" s="55">
        <v>2339</v>
      </c>
      <c r="AN1253" s="55">
        <v>11934000</v>
      </c>
      <c r="AO1253" s="55">
        <v>6315300</v>
      </c>
      <c r="AQ1253" s="55">
        <v>52592584408800</v>
      </c>
      <c r="AR1253" s="55">
        <v>550375487760</v>
      </c>
      <c r="AS1253" s="55">
        <v>395842838000</v>
      </c>
      <c r="AT1253" s="55">
        <v>563362851000</v>
      </c>
      <c r="AU1253" s="55">
        <f t="shared" si="834"/>
        <v>95323931</v>
      </c>
      <c r="AV1253" s="99">
        <f t="shared" si="835"/>
        <v>50853360548.614441</v>
      </c>
    </row>
    <row r="1254" spans="1:48">
      <c r="A1254" s="92">
        <v>45510</v>
      </c>
      <c r="B1254" s="55">
        <v>214814436000</v>
      </c>
      <c r="C1254" s="55">
        <v>0</v>
      </c>
      <c r="D1254" s="55">
        <v>0</v>
      </c>
      <c r="E1254" s="55">
        <v>0</v>
      </c>
      <c r="F1254" s="55">
        <v>214814436000</v>
      </c>
      <c r="G1254" s="55">
        <v>57999898</v>
      </c>
      <c r="H1254" s="55">
        <v>8214346000</v>
      </c>
      <c r="I1254" s="55">
        <v>49895700000</v>
      </c>
      <c r="J1254" s="55">
        <v>58110046000</v>
      </c>
      <c r="L1254" s="55">
        <v>10198461000</v>
      </c>
      <c r="M1254" s="55">
        <v>3136700000</v>
      </c>
      <c r="N1254" s="55">
        <v>13335161000</v>
      </c>
      <c r="O1254" s="55">
        <v>5208778000</v>
      </c>
      <c r="P1254" s="55">
        <v>0</v>
      </c>
      <c r="Q1254" s="55">
        <v>5208778000</v>
      </c>
      <c r="R1254" s="55">
        <v>2897934000</v>
      </c>
      <c r="S1254" s="55">
        <v>0</v>
      </c>
      <c r="T1254" s="55">
        <v>2897934000</v>
      </c>
      <c r="U1254" s="55">
        <v>531064000</v>
      </c>
      <c r="V1254" s="55">
        <v>0</v>
      </c>
      <c r="W1254" s="55">
        <v>531064000</v>
      </c>
      <c r="X1254" s="55">
        <v>838000</v>
      </c>
      <c r="Y1254" s="55">
        <v>0</v>
      </c>
      <c r="Z1254" s="55">
        <v>838000</v>
      </c>
      <c r="AA1254" s="55">
        <v>1723726000</v>
      </c>
      <c r="AB1254" s="55">
        <v>0</v>
      </c>
      <c r="AC1254" s="55">
        <v>1723726000</v>
      </c>
      <c r="AD1254" s="55">
        <v>235800000</v>
      </c>
      <c r="AE1254" s="55">
        <v>0</v>
      </c>
      <c r="AF1254" s="55">
        <v>235800000</v>
      </c>
      <c r="AG1254" s="55">
        <v>31608000</v>
      </c>
      <c r="AH1254" s="55">
        <v>0</v>
      </c>
      <c r="AI1254" s="55">
        <v>31608000</v>
      </c>
      <c r="AJ1254" s="55">
        <v>12682428</v>
      </c>
      <c r="AK1254" s="55">
        <v>0</v>
      </c>
      <c r="AL1254" s="55">
        <v>44933</v>
      </c>
      <c r="AM1254" s="55">
        <v>2168</v>
      </c>
      <c r="AN1254" s="55">
        <v>12291000</v>
      </c>
      <c r="AO1254" s="55">
        <v>5853600</v>
      </c>
      <c r="AQ1254" s="55">
        <v>36165544461200</v>
      </c>
      <c r="AR1254" s="55">
        <v>200211560900</v>
      </c>
      <c r="AS1254" s="55">
        <v>135470366000</v>
      </c>
      <c r="AT1254" s="55">
        <v>350284802000</v>
      </c>
      <c r="AU1254" s="55">
        <f t="shared" si="834"/>
        <v>88826926</v>
      </c>
      <c r="AV1254" s="99">
        <f t="shared" si="835"/>
        <v>50942187474.614441</v>
      </c>
    </row>
    <row r="1255" spans="1:48">
      <c r="A1255" s="92">
        <v>45511</v>
      </c>
      <c r="B1255" s="55">
        <v>23451140000</v>
      </c>
      <c r="C1255" s="55">
        <v>0</v>
      </c>
      <c r="D1255" s="55">
        <v>0</v>
      </c>
      <c r="E1255" s="55">
        <v>0</v>
      </c>
      <c r="F1255" s="55">
        <v>23451140000</v>
      </c>
      <c r="G1255" s="55">
        <v>6331808</v>
      </c>
      <c r="H1255" s="55">
        <v>40653592000</v>
      </c>
      <c r="I1255" s="55">
        <v>60073650000</v>
      </c>
      <c r="J1255" s="55">
        <v>100727242000</v>
      </c>
      <c r="L1255" s="55">
        <v>24596546000</v>
      </c>
      <c r="M1255" s="55">
        <v>0</v>
      </c>
      <c r="N1255" s="55">
        <v>24596546000</v>
      </c>
      <c r="O1255" s="55">
        <v>9539042000</v>
      </c>
      <c r="P1255" s="55">
        <v>0</v>
      </c>
      <c r="Q1255" s="55">
        <v>9539042000</v>
      </c>
      <c r="R1255" s="55">
        <v>2690633000</v>
      </c>
      <c r="S1255" s="55">
        <v>0</v>
      </c>
      <c r="T1255" s="55">
        <v>2690633000</v>
      </c>
      <c r="U1255" s="55">
        <v>469492000</v>
      </c>
      <c r="V1255" s="55">
        <v>0</v>
      </c>
      <c r="W1255" s="55">
        <v>469492000</v>
      </c>
      <c r="X1255" s="55">
        <v>844000</v>
      </c>
      <c r="Y1255" s="55">
        <v>0</v>
      </c>
      <c r="Z1255" s="55">
        <v>844000</v>
      </c>
      <c r="AA1255" s="55">
        <v>228270000</v>
      </c>
      <c r="AB1255" s="55">
        <v>0</v>
      </c>
      <c r="AC1255" s="55">
        <v>228270000</v>
      </c>
      <c r="AD1255" s="55">
        <v>1181000</v>
      </c>
      <c r="AE1255" s="55">
        <v>0</v>
      </c>
      <c r="AF1255" s="55">
        <v>1181000</v>
      </c>
      <c r="AG1255" s="55">
        <v>2628000</v>
      </c>
      <c r="AH1255" s="55">
        <v>0</v>
      </c>
      <c r="AI1255" s="55">
        <v>2628000</v>
      </c>
      <c r="AJ1255" s="55">
        <v>19256938</v>
      </c>
      <c r="AK1255" s="55">
        <v>0</v>
      </c>
      <c r="AL1255" s="55">
        <v>44933</v>
      </c>
      <c r="AM1255" s="55">
        <v>908</v>
      </c>
      <c r="AN1255" s="55">
        <v>12841800</v>
      </c>
      <c r="AO1255" s="55">
        <v>2451600</v>
      </c>
      <c r="AQ1255" s="55">
        <v>31300969006800</v>
      </c>
      <c r="AR1255" s="55">
        <v>304402011620</v>
      </c>
      <c r="AS1255" s="55">
        <v>198600653000</v>
      </c>
      <c r="AT1255" s="55">
        <v>222051793000</v>
      </c>
      <c r="AU1255" s="55">
        <f t="shared" si="834"/>
        <v>40882146</v>
      </c>
      <c r="AV1255" s="99">
        <f t="shared" si="835"/>
        <v>50983069620.614441</v>
      </c>
    </row>
    <row r="1256" spans="1:48">
      <c r="A1256" s="92">
        <v>45512</v>
      </c>
      <c r="B1256" s="55">
        <v>72873589999.459991</v>
      </c>
      <c r="C1256" s="55">
        <v>0</v>
      </c>
      <c r="D1256" s="55">
        <v>0</v>
      </c>
      <c r="E1256" s="55">
        <v>0</v>
      </c>
      <c r="F1256" s="55">
        <v>72873589999.459991</v>
      </c>
      <c r="G1256" s="55">
        <v>19675869</v>
      </c>
      <c r="H1256" s="55">
        <v>4804685000</v>
      </c>
      <c r="I1256" s="55">
        <v>34750000000</v>
      </c>
      <c r="J1256" s="55">
        <v>39554685000</v>
      </c>
      <c r="L1256" s="55">
        <v>24899271000</v>
      </c>
      <c r="M1256" s="55">
        <v>3123100000</v>
      </c>
      <c r="N1256" s="55">
        <v>28022371000</v>
      </c>
      <c r="O1256" s="55">
        <v>1903746000</v>
      </c>
      <c r="P1256" s="55">
        <v>0</v>
      </c>
      <c r="Q1256" s="55">
        <v>1903746000</v>
      </c>
      <c r="R1256" s="55">
        <v>831237000</v>
      </c>
      <c r="S1256" s="55">
        <v>0</v>
      </c>
      <c r="T1256" s="55">
        <v>831237000</v>
      </c>
      <c r="U1256" s="55">
        <v>232183000</v>
      </c>
      <c r="V1256" s="55">
        <v>0</v>
      </c>
      <c r="W1256" s="55">
        <v>232183000</v>
      </c>
      <c r="X1256" s="55">
        <v>836000</v>
      </c>
      <c r="Y1256" s="55">
        <v>0</v>
      </c>
      <c r="Z1256" s="55">
        <v>836000</v>
      </c>
      <c r="AA1256" s="55">
        <v>137809000</v>
      </c>
      <c r="AB1256" s="55">
        <v>0</v>
      </c>
      <c r="AC1256" s="55">
        <v>137809000</v>
      </c>
      <c r="AD1256" s="55">
        <v>3526000</v>
      </c>
      <c r="AE1256" s="55">
        <v>0</v>
      </c>
      <c r="AF1256" s="55">
        <v>3526000</v>
      </c>
      <c r="AG1256" s="55">
        <v>22234000</v>
      </c>
      <c r="AH1256" s="55">
        <v>0</v>
      </c>
      <c r="AI1256" s="55">
        <v>22234000</v>
      </c>
      <c r="AJ1256" s="55">
        <v>10363395</v>
      </c>
      <c r="AK1256" s="55">
        <v>0</v>
      </c>
      <c r="AL1256" s="55">
        <v>44933</v>
      </c>
      <c r="AM1256" s="55">
        <v>824</v>
      </c>
      <c r="AN1256" s="55">
        <v>12275700</v>
      </c>
      <c r="AO1256" s="55">
        <v>2224800</v>
      </c>
      <c r="AQ1256" s="55">
        <v>37369871614000</v>
      </c>
      <c r="AR1256" s="55">
        <v>212674351700</v>
      </c>
      <c r="AS1256" s="55">
        <v>108910852000</v>
      </c>
      <c r="AT1256" s="55">
        <v>181784441999.45999</v>
      </c>
      <c r="AU1256" s="55">
        <f t="shared" si="834"/>
        <v>44539764</v>
      </c>
      <c r="AV1256" s="99">
        <f t="shared" si="835"/>
        <v>51027609384.614441</v>
      </c>
    </row>
    <row r="1257" spans="1:48">
      <c r="A1257" s="92">
        <v>45513</v>
      </c>
      <c r="B1257" s="55">
        <f>[1]Sheet1!C1520</f>
        <v>69621765000</v>
      </c>
      <c r="C1257" s="55">
        <f>[1]Sheet1!D1520</f>
        <v>0</v>
      </c>
      <c r="D1257" s="55">
        <f>[1]Sheet1!E1520</f>
        <v>0</v>
      </c>
      <c r="E1257" s="55">
        <f>[1]Sheet1!F1520</f>
        <v>0</v>
      </c>
      <c r="F1257" s="55">
        <f>[1]Sheet1!G1520</f>
        <v>69621765000</v>
      </c>
      <c r="G1257" s="55">
        <f>[1]Sheet1!H1520</f>
        <v>18797877</v>
      </c>
      <c r="H1257" s="55">
        <f>[1]Sheet1!I1520</f>
        <v>4482800000</v>
      </c>
      <c r="I1257" s="55">
        <f>[1]Sheet1!J1520</f>
        <v>25282450000</v>
      </c>
      <c r="J1257" s="55">
        <f>[1]Sheet1!K1520</f>
        <v>29765250000</v>
      </c>
      <c r="K1257" s="55">
        <f>[1]Sheet1!L1520</f>
        <v>0</v>
      </c>
      <c r="L1257" s="55">
        <f>[1]Sheet1!M1520</f>
        <v>19926817000</v>
      </c>
      <c r="M1257" s="55">
        <f>[1]Sheet1!N1520</f>
        <v>0</v>
      </c>
      <c r="N1257" s="55">
        <f>[1]Sheet1!O1520</f>
        <v>19926817000</v>
      </c>
      <c r="O1257" s="55">
        <f>[1]Sheet1!P1520</f>
        <v>1433022000</v>
      </c>
      <c r="P1257" s="55">
        <f>[1]Sheet1!Q1520</f>
        <v>0</v>
      </c>
      <c r="Q1257" s="55">
        <f>[1]Sheet1!R1520</f>
        <v>1433022000</v>
      </c>
      <c r="R1257" s="55">
        <f>[1]Sheet1!S1520</f>
        <v>264774000</v>
      </c>
      <c r="S1257" s="55">
        <f>[1]Sheet1!T1520</f>
        <v>0</v>
      </c>
      <c r="T1257" s="55">
        <f>[1]Sheet1!U1520</f>
        <v>264774000</v>
      </c>
      <c r="U1257" s="55">
        <f>[1]Sheet1!V1520</f>
        <v>48508000</v>
      </c>
      <c r="V1257" s="55">
        <f>[1]Sheet1!W1520</f>
        <v>0</v>
      </c>
      <c r="W1257" s="55">
        <f>[1]Sheet1!X1520</f>
        <v>48508000</v>
      </c>
      <c r="X1257" s="55">
        <f>[1]Sheet1!Y1520</f>
        <v>0</v>
      </c>
      <c r="Y1257" s="55">
        <f>[1]Sheet1!Z1520</f>
        <v>10854900000</v>
      </c>
      <c r="Z1257" s="55">
        <f>[1]Sheet1!AA1520</f>
        <v>10854900000</v>
      </c>
      <c r="AA1257" s="55">
        <f>[1]Sheet1!AB1520</f>
        <v>85318000</v>
      </c>
      <c r="AB1257" s="55">
        <f>[1]Sheet1!AC1520</f>
        <v>0</v>
      </c>
      <c r="AC1257" s="55">
        <f>[1]Sheet1!AD1520</f>
        <v>85318000</v>
      </c>
      <c r="AD1257" s="55">
        <f>[1]Sheet1!AE1520</f>
        <v>587000000</v>
      </c>
      <c r="AE1257" s="55">
        <f>[1]Sheet1!AF1520</f>
        <v>0</v>
      </c>
      <c r="AF1257" s="55">
        <f>[1]Sheet1!AG1520</f>
        <v>587000000</v>
      </c>
      <c r="AG1257" s="55">
        <f>[1]Sheet1!AH1520</f>
        <v>131488000</v>
      </c>
      <c r="AH1257" s="55">
        <f>[1]Sheet1!AI1520</f>
        <v>0</v>
      </c>
      <c r="AI1257" s="55">
        <f>[1]Sheet1!AJ1520</f>
        <v>131488000</v>
      </c>
      <c r="AJ1257" s="55">
        <f>[1]Sheet1!AK1520</f>
        <v>9416374</v>
      </c>
      <c r="AK1257" s="55">
        <f>[1]Sheet1!AL1520</f>
        <v>0</v>
      </c>
      <c r="AL1257" s="55">
        <f>[1]Sheet1!AM1520</f>
        <v>44933</v>
      </c>
      <c r="AM1257" s="55">
        <f>[1]Sheet1!AN1520</f>
        <v>1005</v>
      </c>
      <c r="AN1257" s="55">
        <f>[1]Sheet1!AO1520</f>
        <v>35886150</v>
      </c>
      <c r="AO1257" s="55">
        <f>[1]Sheet1!AP1520</f>
        <v>2713500</v>
      </c>
      <c r="AP1257" s="55">
        <f>[1]Sheet1!AQ1520</f>
        <v>0</v>
      </c>
      <c r="AQ1257" s="55">
        <f>[1]Sheet1!AR1520</f>
        <v>32033770037600</v>
      </c>
      <c r="AR1257" s="55">
        <f>[1]Sheet1!AS1520</f>
        <v>160425361180</v>
      </c>
      <c r="AS1257" s="55">
        <f>[1]Sheet1!AT1520</f>
        <v>99388940000</v>
      </c>
      <c r="AT1257" s="55">
        <f>[1]Sheet1!AU1520</f>
        <v>169010705000</v>
      </c>
      <c r="AU1257" s="55">
        <f t="shared" ref="AU1257:AU1262" si="836">G1257+AJ1257+AK1257+AN1257+AO1257+AP1257</f>
        <v>66813901</v>
      </c>
      <c r="AV1257" s="99">
        <f t="shared" ref="AV1257:AV1262" si="837">AV1256+AU1257</f>
        <v>51094423285.614441</v>
      </c>
    </row>
    <row r="1258" spans="1:48">
      <c r="A1258" s="92">
        <v>45516</v>
      </c>
      <c r="B1258" s="55">
        <v>131069975999.72998</v>
      </c>
      <c r="C1258" s="55">
        <v>28397953800</v>
      </c>
      <c r="D1258" s="55">
        <v>0</v>
      </c>
      <c r="E1258" s="55">
        <v>0</v>
      </c>
      <c r="F1258" s="55">
        <v>159467929799.72998</v>
      </c>
      <c r="G1258" s="55">
        <v>43056341</v>
      </c>
      <c r="H1258" s="55">
        <v>5032603000</v>
      </c>
      <c r="I1258" s="55">
        <v>4398000000</v>
      </c>
      <c r="J1258" s="55">
        <v>9430603000</v>
      </c>
      <c r="K1258" s="55">
        <v>0</v>
      </c>
      <c r="L1258" s="55">
        <v>6062800000</v>
      </c>
      <c r="M1258" s="55">
        <v>0</v>
      </c>
      <c r="N1258" s="55">
        <v>6062800000</v>
      </c>
      <c r="O1258" s="55">
        <v>107092000</v>
      </c>
      <c r="P1258" s="55">
        <v>0</v>
      </c>
      <c r="Q1258" s="55">
        <v>107092000</v>
      </c>
      <c r="R1258" s="55">
        <v>5197000</v>
      </c>
      <c r="S1258" s="55">
        <v>0</v>
      </c>
      <c r="T1258" s="55">
        <v>5197000</v>
      </c>
      <c r="U1258" s="55">
        <v>53445000</v>
      </c>
      <c r="V1258" s="55">
        <v>0</v>
      </c>
      <c r="W1258" s="55">
        <v>53445000</v>
      </c>
      <c r="X1258" s="55">
        <v>3376000</v>
      </c>
      <c r="Y1258" s="55">
        <v>0</v>
      </c>
      <c r="Z1258" s="55">
        <v>3376000</v>
      </c>
      <c r="AA1258" s="55">
        <v>300627000</v>
      </c>
      <c r="AB1258" s="55">
        <v>0</v>
      </c>
      <c r="AC1258" s="55">
        <v>300627000</v>
      </c>
      <c r="AD1258" s="55">
        <v>1204000</v>
      </c>
      <c r="AE1258" s="55">
        <v>0</v>
      </c>
      <c r="AF1258" s="55">
        <v>1204000</v>
      </c>
      <c r="AG1258" s="55">
        <v>0</v>
      </c>
      <c r="AH1258" s="55">
        <v>0</v>
      </c>
      <c r="AI1258" s="55">
        <v>0</v>
      </c>
      <c r="AJ1258" s="55">
        <v>2040805</v>
      </c>
      <c r="AK1258" s="55">
        <v>0</v>
      </c>
      <c r="AL1258" s="55">
        <v>44933</v>
      </c>
      <c r="AM1258" s="55">
        <v>1929</v>
      </c>
      <c r="AN1258" s="55">
        <v>9980700</v>
      </c>
      <c r="AO1258" s="55">
        <v>5208300</v>
      </c>
      <c r="AP1258" s="55">
        <v>0</v>
      </c>
      <c r="AQ1258" s="55">
        <v>31161110460000</v>
      </c>
      <c r="AR1258" s="55">
        <v>46007591160</v>
      </c>
      <c r="AS1258" s="55">
        <v>20505892000</v>
      </c>
      <c r="AT1258" s="55">
        <v>179973821799.72998</v>
      </c>
      <c r="AU1258" s="55">
        <f t="shared" si="836"/>
        <v>60286146</v>
      </c>
      <c r="AV1258" s="99">
        <f t="shared" si="837"/>
        <v>51154709431.614441</v>
      </c>
    </row>
    <row r="1259" spans="1:48">
      <c r="A1259" s="92">
        <v>45517</v>
      </c>
      <c r="B1259" s="55">
        <v>133105597000</v>
      </c>
      <c r="C1259" s="55">
        <v>12900400000</v>
      </c>
      <c r="D1259" s="55">
        <v>0</v>
      </c>
      <c r="E1259" s="55">
        <v>2467725000</v>
      </c>
      <c r="F1259" s="55">
        <v>148473722000</v>
      </c>
      <c r="G1259" s="55">
        <v>40087905</v>
      </c>
      <c r="H1259" s="55">
        <v>2566192000</v>
      </c>
      <c r="I1259" s="55">
        <v>0</v>
      </c>
      <c r="J1259" s="55">
        <v>2566192000</v>
      </c>
      <c r="K1259" s="55">
        <v>0</v>
      </c>
      <c r="L1259" s="55">
        <v>33278381000</v>
      </c>
      <c r="M1259" s="55">
        <v>0</v>
      </c>
      <c r="N1259" s="55">
        <v>33278381000</v>
      </c>
      <c r="O1259" s="55">
        <v>7973972000</v>
      </c>
      <c r="P1259" s="55">
        <v>0</v>
      </c>
      <c r="Q1259" s="55">
        <v>7973972000</v>
      </c>
      <c r="R1259" s="55">
        <v>0</v>
      </c>
      <c r="S1259" s="55">
        <v>0</v>
      </c>
      <c r="T1259" s="55">
        <v>0</v>
      </c>
      <c r="U1259" s="55">
        <v>52090000</v>
      </c>
      <c r="V1259" s="55">
        <v>0</v>
      </c>
      <c r="W1259" s="55">
        <v>52090000</v>
      </c>
      <c r="X1259" s="55">
        <v>256031000</v>
      </c>
      <c r="Y1259" s="55">
        <v>0</v>
      </c>
      <c r="Z1259" s="55">
        <v>256031000</v>
      </c>
      <c r="AA1259" s="55">
        <v>184804000</v>
      </c>
      <c r="AB1259" s="55">
        <v>0</v>
      </c>
      <c r="AC1259" s="55">
        <v>184804000</v>
      </c>
      <c r="AD1259" s="55">
        <v>1204000</v>
      </c>
      <c r="AE1259" s="55">
        <v>0</v>
      </c>
      <c r="AF1259" s="55">
        <v>1204000</v>
      </c>
      <c r="AG1259" s="55">
        <v>0</v>
      </c>
      <c r="AH1259" s="55">
        <v>0</v>
      </c>
      <c r="AI1259" s="55">
        <v>0</v>
      </c>
      <c r="AJ1259" s="55">
        <v>4785769</v>
      </c>
      <c r="AK1259" s="55">
        <v>0</v>
      </c>
      <c r="AL1259" s="55">
        <v>44933</v>
      </c>
      <c r="AM1259" s="55">
        <v>2058</v>
      </c>
      <c r="AN1259" s="55">
        <v>9924600</v>
      </c>
      <c r="AO1259" s="55">
        <v>5556600</v>
      </c>
      <c r="AP1259" s="55">
        <v>0</v>
      </c>
      <c r="AQ1259" s="55">
        <v>29447737416400</v>
      </c>
      <c r="AR1259" s="55">
        <v>125068753860</v>
      </c>
      <c r="AS1259" s="55">
        <v>44391497000</v>
      </c>
      <c r="AT1259" s="55">
        <v>192864017000</v>
      </c>
      <c r="AU1259" s="55">
        <f t="shared" si="836"/>
        <v>60354874</v>
      </c>
      <c r="AV1259" s="99">
        <f t="shared" si="837"/>
        <v>51215064305.614441</v>
      </c>
    </row>
    <row r="1260" spans="1:48">
      <c r="A1260" s="92">
        <v>45518</v>
      </c>
      <c r="B1260" s="55">
        <v>62053061999.949997</v>
      </c>
      <c r="C1260" s="55">
        <v>0</v>
      </c>
      <c r="D1260" s="55">
        <v>0</v>
      </c>
      <c r="E1260" s="55">
        <v>0</v>
      </c>
      <c r="F1260" s="55">
        <v>62053061999.949997</v>
      </c>
      <c r="G1260" s="55">
        <v>16754327</v>
      </c>
      <c r="H1260" s="55">
        <v>404078000</v>
      </c>
      <c r="I1260" s="55">
        <v>0</v>
      </c>
      <c r="J1260" s="55">
        <v>404078000</v>
      </c>
      <c r="K1260" s="55">
        <v>0</v>
      </c>
      <c r="L1260" s="55">
        <v>21756351000</v>
      </c>
      <c r="M1260" s="55">
        <v>6399800000</v>
      </c>
      <c r="N1260" s="55">
        <v>28156151000</v>
      </c>
      <c r="O1260" s="55">
        <v>109063000</v>
      </c>
      <c r="P1260" s="55">
        <v>0</v>
      </c>
      <c r="Q1260" s="55">
        <v>109063000</v>
      </c>
      <c r="R1260" s="55">
        <v>355038000</v>
      </c>
      <c r="S1260" s="55">
        <v>0</v>
      </c>
      <c r="T1260" s="55">
        <v>355038000</v>
      </c>
      <c r="U1260" s="55">
        <v>132652000</v>
      </c>
      <c r="V1260" s="55">
        <v>0</v>
      </c>
      <c r="W1260" s="55">
        <v>132652000</v>
      </c>
      <c r="X1260" s="55">
        <v>847000</v>
      </c>
      <c r="Y1260" s="55">
        <v>0</v>
      </c>
      <c r="Z1260" s="55">
        <v>847000</v>
      </c>
      <c r="AA1260" s="55">
        <v>39991000</v>
      </c>
      <c r="AB1260" s="55">
        <v>0</v>
      </c>
      <c r="AC1260" s="55">
        <v>39991000</v>
      </c>
      <c r="AD1260" s="55">
        <v>0</v>
      </c>
      <c r="AE1260" s="55">
        <v>0</v>
      </c>
      <c r="AF1260" s="55">
        <v>0</v>
      </c>
      <c r="AG1260" s="55">
        <v>0</v>
      </c>
      <c r="AH1260" s="55">
        <v>0</v>
      </c>
      <c r="AI1260" s="55">
        <v>0</v>
      </c>
      <c r="AJ1260" s="55">
        <v>3614150</v>
      </c>
      <c r="AK1260" s="55">
        <v>0</v>
      </c>
      <c r="AL1260" s="55">
        <v>44933</v>
      </c>
      <c r="AM1260" s="55">
        <v>2007</v>
      </c>
      <c r="AN1260" s="55">
        <v>10289250</v>
      </c>
      <c r="AO1260" s="55">
        <v>5418900</v>
      </c>
      <c r="AP1260" s="55">
        <v>0</v>
      </c>
      <c r="AQ1260" s="55">
        <v>29195161720000</v>
      </c>
      <c r="AR1260" s="55">
        <v>73710862140</v>
      </c>
      <c r="AS1260" s="55">
        <v>36111750000</v>
      </c>
      <c r="AT1260" s="55">
        <v>98163611999.949997</v>
      </c>
      <c r="AU1260" s="55">
        <f t="shared" si="836"/>
        <v>36076627</v>
      </c>
      <c r="AV1260" s="99">
        <f t="shared" si="837"/>
        <v>51251140932.614441</v>
      </c>
    </row>
    <row r="1261" spans="1:48">
      <c r="A1261" s="92">
        <v>45519</v>
      </c>
      <c r="B1261" s="55">
        <v>151701413999.56998</v>
      </c>
      <c r="C1261" s="55">
        <v>0</v>
      </c>
      <c r="D1261" s="55">
        <v>0</v>
      </c>
      <c r="E1261" s="55">
        <v>0</v>
      </c>
      <c r="F1261" s="55">
        <v>151701413999.56998</v>
      </c>
      <c r="G1261" s="55">
        <v>40959382</v>
      </c>
      <c r="H1261" s="55">
        <v>6893942000</v>
      </c>
      <c r="I1261" s="55">
        <v>0</v>
      </c>
      <c r="J1261" s="55">
        <v>6893942000</v>
      </c>
      <c r="K1261" s="55">
        <v>0</v>
      </c>
      <c r="L1261" s="55">
        <v>24803987000</v>
      </c>
      <c r="M1261" s="55">
        <v>0</v>
      </c>
      <c r="N1261" s="55">
        <v>24803987000</v>
      </c>
      <c r="O1261" s="55">
        <v>47473000</v>
      </c>
      <c r="P1261" s="55">
        <v>0</v>
      </c>
      <c r="Q1261" s="55">
        <v>47473000</v>
      </c>
      <c r="R1261" s="55">
        <v>17040000</v>
      </c>
      <c r="S1261" s="55">
        <v>0</v>
      </c>
      <c r="T1261" s="55">
        <v>17040000</v>
      </c>
      <c r="U1261" s="55">
        <v>36268000</v>
      </c>
      <c r="V1261" s="55">
        <v>0</v>
      </c>
      <c r="W1261" s="55">
        <v>36268000</v>
      </c>
      <c r="X1261" s="55">
        <v>5950000</v>
      </c>
      <c r="Y1261" s="55">
        <v>0</v>
      </c>
      <c r="Z1261" s="55">
        <v>5950000</v>
      </c>
      <c r="AA1261" s="55">
        <v>270227000</v>
      </c>
      <c r="AB1261" s="55">
        <v>0</v>
      </c>
      <c r="AC1261" s="55">
        <v>270227000</v>
      </c>
      <c r="AD1261" s="55">
        <v>0</v>
      </c>
      <c r="AE1261" s="55">
        <v>0</v>
      </c>
      <c r="AF1261" s="55">
        <v>0</v>
      </c>
      <c r="AG1261" s="55">
        <v>0</v>
      </c>
      <c r="AH1261" s="55">
        <v>0</v>
      </c>
      <c r="AI1261" s="55">
        <v>0</v>
      </c>
      <c r="AJ1261" s="55">
        <v>3464088</v>
      </c>
      <c r="AK1261" s="55">
        <v>0</v>
      </c>
      <c r="AL1261" s="55">
        <v>44933</v>
      </c>
      <c r="AM1261" s="55">
        <v>1557</v>
      </c>
      <c r="AN1261" s="55">
        <v>7859100</v>
      </c>
      <c r="AO1261" s="55">
        <v>4203900</v>
      </c>
      <c r="AP1261" s="55">
        <v>0</v>
      </c>
      <c r="AQ1261" s="55">
        <v>25612703605000</v>
      </c>
      <c r="AR1261" s="55">
        <v>81663784360</v>
      </c>
      <c r="AS1261" s="55">
        <v>32201785000</v>
      </c>
      <c r="AT1261" s="55">
        <v>183903198999.56998</v>
      </c>
      <c r="AU1261" s="55">
        <f t="shared" si="836"/>
        <v>56486470</v>
      </c>
      <c r="AV1261" s="99">
        <f t="shared" si="837"/>
        <v>51307627402.614441</v>
      </c>
    </row>
    <row r="1262" spans="1:48">
      <c r="A1262" s="92">
        <v>45520</v>
      </c>
      <c r="B1262" s="55">
        <f>[1]Sheet1!C1526</f>
        <v>67079133000</v>
      </c>
      <c r="C1262" s="55">
        <f>[1]Sheet1!D1526</f>
        <v>0</v>
      </c>
      <c r="D1262" s="55">
        <f>[1]Sheet1!E1526</f>
        <v>0</v>
      </c>
      <c r="E1262" s="55">
        <f>[1]Sheet1!F1526</f>
        <v>2136295000</v>
      </c>
      <c r="F1262" s="55">
        <f>[1]Sheet1!G1526</f>
        <v>69215428000</v>
      </c>
      <c r="G1262" s="55">
        <f>[1]Sheet1!H1526</f>
        <v>18688166</v>
      </c>
      <c r="H1262" s="55">
        <f>[1]Sheet1!I1526</f>
        <v>15077494000</v>
      </c>
      <c r="I1262" s="55">
        <f>[1]Sheet1!J1526</f>
        <v>4468600000</v>
      </c>
      <c r="J1262" s="55">
        <f>[1]Sheet1!K1526</f>
        <v>19546094000</v>
      </c>
      <c r="K1262" s="55">
        <f>[1]Sheet1!L1526</f>
        <v>0</v>
      </c>
      <c r="L1262" s="55">
        <f>[1]Sheet1!M1526</f>
        <v>50509747000</v>
      </c>
      <c r="M1262" s="55">
        <f>[1]Sheet1!N1526</f>
        <v>0</v>
      </c>
      <c r="N1262" s="55">
        <f>[1]Sheet1!O1526</f>
        <v>50509747000</v>
      </c>
      <c r="O1262" s="55">
        <f>[1]Sheet1!P1526</f>
        <v>14040253000</v>
      </c>
      <c r="P1262" s="55">
        <f>[1]Sheet1!Q1526</f>
        <v>0</v>
      </c>
      <c r="Q1262" s="55">
        <f>[1]Sheet1!R1526</f>
        <v>14040253000</v>
      </c>
      <c r="R1262" s="55">
        <f>[1]Sheet1!S1526</f>
        <v>1615039000</v>
      </c>
      <c r="S1262" s="55">
        <f>[1]Sheet1!T1526</f>
        <v>0</v>
      </c>
      <c r="T1262" s="55">
        <f>[1]Sheet1!U1526</f>
        <v>1615039000</v>
      </c>
      <c r="U1262" s="55">
        <f>[1]Sheet1!V1526</f>
        <v>237264000</v>
      </c>
      <c r="V1262" s="55">
        <f>[1]Sheet1!W1526</f>
        <v>0</v>
      </c>
      <c r="W1262" s="55">
        <f>[1]Sheet1!X1526</f>
        <v>237264000</v>
      </c>
      <c r="X1262" s="55">
        <f>[1]Sheet1!Y1526</f>
        <v>175979000</v>
      </c>
      <c r="Y1262" s="55">
        <f>[1]Sheet1!Z1526</f>
        <v>0</v>
      </c>
      <c r="Z1262" s="55">
        <f>[1]Sheet1!AA1526</f>
        <v>175979000</v>
      </c>
      <c r="AA1262" s="55">
        <f>[1]Sheet1!AB1526</f>
        <v>128612000</v>
      </c>
      <c r="AB1262" s="55">
        <f>[1]Sheet1!AC1526</f>
        <v>0</v>
      </c>
      <c r="AC1262" s="55">
        <f>[1]Sheet1!AD1526</f>
        <v>128612000</v>
      </c>
      <c r="AD1262" s="55">
        <f>[1]Sheet1!AE1526</f>
        <v>2420000</v>
      </c>
      <c r="AE1262" s="55">
        <f>[1]Sheet1!AF1526</f>
        <v>0</v>
      </c>
      <c r="AF1262" s="55">
        <f>[1]Sheet1!AG1526</f>
        <v>2420000</v>
      </c>
      <c r="AG1262" s="55">
        <f>[1]Sheet1!AH1526</f>
        <v>26910000</v>
      </c>
      <c r="AH1262" s="55">
        <f>[1]Sheet1!AI1526</f>
        <v>0</v>
      </c>
      <c r="AI1262" s="55">
        <f>[1]Sheet1!AJ1526</f>
        <v>26910000</v>
      </c>
      <c r="AJ1262" s="55">
        <f>[1]Sheet1!AK1526</f>
        <v>9640230</v>
      </c>
      <c r="AK1262" s="55">
        <f>[1]Sheet1!AL1526</f>
        <v>0</v>
      </c>
      <c r="AL1262" s="55">
        <f>[1]Sheet1!AM1526</f>
        <v>44933</v>
      </c>
      <c r="AM1262" s="55">
        <f>[1]Sheet1!AN1526</f>
        <v>1132</v>
      </c>
      <c r="AN1262" s="55">
        <f>[1]Sheet1!AO1526</f>
        <v>23271300</v>
      </c>
      <c r="AO1262" s="55">
        <f>[1]Sheet1!AP1526</f>
        <v>3056400</v>
      </c>
      <c r="AP1262" s="55">
        <f>[1]Sheet1!AQ1526</f>
        <v>0</v>
      </c>
      <c r="AQ1262" s="55">
        <f>[1]Sheet1!AR1526</f>
        <v>51921223324000</v>
      </c>
      <c r="AR1262" s="55">
        <f>[1]Sheet1!AS1526</f>
        <v>208979534760</v>
      </c>
      <c r="AS1262" s="55">
        <f>[1]Sheet1!AT1526</f>
        <v>91082235000</v>
      </c>
      <c r="AT1262" s="55">
        <f>[1]Sheet1!AU1526</f>
        <v>160297663000</v>
      </c>
      <c r="AU1262" s="55">
        <f t="shared" si="836"/>
        <v>54656096</v>
      </c>
      <c r="AV1262" s="99">
        <f t="shared" si="837"/>
        <v>51362283498.614441</v>
      </c>
    </row>
    <row r="1263" spans="1:48">
      <c r="A1263" s="92">
        <v>45523</v>
      </c>
      <c r="B1263" s="55">
        <v>103702298999.97</v>
      </c>
      <c r="C1263" s="55">
        <v>0</v>
      </c>
      <c r="D1263" s="55">
        <v>0</v>
      </c>
      <c r="E1263" s="55">
        <v>0</v>
      </c>
      <c r="F1263" s="55">
        <v>103702298999.97</v>
      </c>
      <c r="G1263" s="55">
        <v>27999621</v>
      </c>
      <c r="H1263" s="55">
        <v>4957083000</v>
      </c>
      <c r="I1263" s="55">
        <v>0</v>
      </c>
      <c r="J1263" s="55">
        <v>4957083000</v>
      </c>
      <c r="K1263" s="55">
        <v>0</v>
      </c>
      <c r="L1263" s="55">
        <v>22617751000</v>
      </c>
      <c r="M1263" s="55">
        <v>6611400000</v>
      </c>
      <c r="N1263" s="55">
        <v>29229151000</v>
      </c>
      <c r="O1263" s="55">
        <v>20752518000</v>
      </c>
      <c r="P1263" s="55">
        <v>0</v>
      </c>
      <c r="Q1263" s="55">
        <v>20752518000</v>
      </c>
      <c r="R1263" s="55">
        <v>756300000</v>
      </c>
      <c r="S1263" s="55">
        <v>0</v>
      </c>
      <c r="T1263" s="55">
        <v>756300000</v>
      </c>
      <c r="U1263" s="55">
        <v>72417000</v>
      </c>
      <c r="V1263" s="55">
        <v>0</v>
      </c>
      <c r="W1263" s="55">
        <v>72417000</v>
      </c>
      <c r="X1263" s="55">
        <v>30274000</v>
      </c>
      <c r="Y1263" s="55">
        <v>0</v>
      </c>
      <c r="Z1263" s="55">
        <v>30274000</v>
      </c>
      <c r="AA1263" s="55">
        <v>126614000</v>
      </c>
      <c r="AB1263" s="55">
        <v>0</v>
      </c>
      <c r="AC1263" s="55">
        <v>126614000</v>
      </c>
      <c r="AD1263" s="55">
        <v>64342000</v>
      </c>
      <c r="AE1263" s="55">
        <v>0</v>
      </c>
      <c r="AF1263" s="55">
        <v>64342000</v>
      </c>
      <c r="AG1263" s="55">
        <v>84430000</v>
      </c>
      <c r="AH1263" s="55">
        <v>0</v>
      </c>
      <c r="AI1263" s="55">
        <v>84430000</v>
      </c>
      <c r="AJ1263" s="55">
        <v>6531919</v>
      </c>
      <c r="AK1263" s="55">
        <v>0</v>
      </c>
      <c r="AL1263" s="55">
        <v>44933</v>
      </c>
      <c r="AM1263" s="55">
        <v>1161</v>
      </c>
      <c r="AN1263" s="55">
        <v>8534850</v>
      </c>
      <c r="AO1263" s="55">
        <v>3134700</v>
      </c>
      <c r="AP1263" s="55">
        <v>0</v>
      </c>
      <c r="AQ1263" s="55">
        <v>37336531847400</v>
      </c>
      <c r="AR1263" s="55">
        <v>147104597680</v>
      </c>
      <c r="AS1263" s="55">
        <v>62850920000</v>
      </c>
      <c r="AT1263" s="55">
        <v>166553218999.97</v>
      </c>
      <c r="AU1263" s="55">
        <v>46201090</v>
      </c>
      <c r="AV1263" s="99">
        <v>51408463888.614441</v>
      </c>
    </row>
    <row r="1264" spans="1:48">
      <c r="A1264" s="92">
        <v>45524</v>
      </c>
      <c r="B1264" s="55">
        <v>80272262000.100021</v>
      </c>
      <c r="C1264" s="55">
        <v>0</v>
      </c>
      <c r="D1264" s="55">
        <v>0</v>
      </c>
      <c r="E1264" s="55">
        <v>0</v>
      </c>
      <c r="F1264" s="55">
        <v>80272262000.100021</v>
      </c>
      <c r="G1264" s="55">
        <v>21673511</v>
      </c>
      <c r="H1264" s="55">
        <v>10344702000</v>
      </c>
      <c r="I1264" s="55">
        <v>15921000000</v>
      </c>
      <c r="J1264" s="55">
        <v>26265702000</v>
      </c>
      <c r="K1264" s="55">
        <v>0</v>
      </c>
      <c r="L1264" s="55">
        <v>12439060000</v>
      </c>
      <c r="M1264" s="55">
        <v>3343800000</v>
      </c>
      <c r="N1264" s="55">
        <v>15782860000</v>
      </c>
      <c r="O1264" s="55">
        <v>10470050000</v>
      </c>
      <c r="P1264" s="55">
        <v>0</v>
      </c>
      <c r="Q1264" s="55">
        <v>10470050000</v>
      </c>
      <c r="R1264" s="55">
        <v>2807156000</v>
      </c>
      <c r="S1264" s="55">
        <v>0</v>
      </c>
      <c r="T1264" s="55">
        <v>2807156000</v>
      </c>
      <c r="U1264" s="55">
        <v>2303120000</v>
      </c>
      <c r="V1264" s="55">
        <v>0</v>
      </c>
      <c r="W1264" s="55">
        <v>2303120000</v>
      </c>
      <c r="X1264" s="55">
        <v>6944000</v>
      </c>
      <c r="Y1264" s="55">
        <v>0</v>
      </c>
      <c r="Z1264" s="55">
        <v>6944000</v>
      </c>
      <c r="AA1264" s="55">
        <v>514596000</v>
      </c>
      <c r="AB1264" s="55">
        <v>0</v>
      </c>
      <c r="AC1264" s="55">
        <v>514596000</v>
      </c>
      <c r="AD1264" s="55">
        <v>14740000</v>
      </c>
      <c r="AE1264" s="55">
        <v>0</v>
      </c>
      <c r="AF1264" s="55">
        <v>14740000</v>
      </c>
      <c r="AG1264" s="55">
        <v>0</v>
      </c>
      <c r="AH1264" s="55">
        <v>2521800000</v>
      </c>
      <c r="AI1264" s="55">
        <v>2521800000</v>
      </c>
      <c r="AJ1264" s="55">
        <v>8122828</v>
      </c>
      <c r="AK1264" s="55">
        <v>0</v>
      </c>
      <c r="AL1264" s="55">
        <v>44933</v>
      </c>
      <c r="AM1264" s="55">
        <v>959</v>
      </c>
      <c r="AN1264" s="55">
        <v>8812800</v>
      </c>
      <c r="AO1264" s="55">
        <v>2589300</v>
      </c>
      <c r="AP1264" s="55">
        <v>0</v>
      </c>
      <c r="AQ1264" s="55">
        <v>42280926058600</v>
      </c>
      <c r="AR1264" s="55">
        <v>158223091680</v>
      </c>
      <c r="AS1264" s="55">
        <v>84871211000</v>
      </c>
      <c r="AT1264" s="55">
        <v>165142247000.10004</v>
      </c>
      <c r="AU1264" s="55">
        <v>41198439</v>
      </c>
      <c r="AV1264" s="99">
        <v>51449662327.614441</v>
      </c>
    </row>
    <row r="1265" spans="1:48">
      <c r="A1265" s="92">
        <v>45525</v>
      </c>
      <c r="B1265" s="55">
        <v>147593638000.10999</v>
      </c>
      <c r="C1265" s="55">
        <v>0</v>
      </c>
      <c r="D1265" s="55">
        <v>0</v>
      </c>
      <c r="E1265" s="55">
        <v>0</v>
      </c>
      <c r="F1265" s="55">
        <v>147593638000.10999</v>
      </c>
      <c r="G1265" s="55">
        <v>39850282</v>
      </c>
      <c r="H1265" s="55">
        <v>15191063000</v>
      </c>
      <c r="I1265" s="55">
        <v>18214000000</v>
      </c>
      <c r="J1265" s="55">
        <v>33405063000</v>
      </c>
      <c r="K1265" s="55">
        <v>0</v>
      </c>
      <c r="L1265" s="55">
        <v>43929826000</v>
      </c>
      <c r="M1265" s="55">
        <v>16649800000</v>
      </c>
      <c r="N1265" s="55">
        <v>60579626000</v>
      </c>
      <c r="O1265" s="55">
        <v>11224016000</v>
      </c>
      <c r="P1265" s="55">
        <v>0</v>
      </c>
      <c r="Q1265" s="55">
        <v>11224016000</v>
      </c>
      <c r="R1265" s="55">
        <v>2114325000</v>
      </c>
      <c r="S1265" s="55">
        <v>0</v>
      </c>
      <c r="T1265" s="55">
        <v>2114325000</v>
      </c>
      <c r="U1265" s="55">
        <v>503827000</v>
      </c>
      <c r="V1265" s="55">
        <v>0</v>
      </c>
      <c r="W1265" s="55">
        <v>503827000</v>
      </c>
      <c r="X1265" s="55">
        <v>36418000</v>
      </c>
      <c r="Y1265" s="55">
        <v>17421500000</v>
      </c>
      <c r="Z1265" s="55">
        <v>17457918000</v>
      </c>
      <c r="AA1265" s="55">
        <v>88181000</v>
      </c>
      <c r="AB1265" s="55">
        <v>0</v>
      </c>
      <c r="AC1265" s="55">
        <v>88181000</v>
      </c>
      <c r="AD1265" s="55">
        <v>3716000</v>
      </c>
      <c r="AE1265" s="55">
        <v>0</v>
      </c>
      <c r="AF1265" s="55">
        <v>3716000</v>
      </c>
      <c r="AG1265" s="55">
        <v>0</v>
      </c>
      <c r="AH1265" s="55">
        <v>0</v>
      </c>
      <c r="AI1265" s="55">
        <v>0</v>
      </c>
      <c r="AJ1265" s="55">
        <v>17305222</v>
      </c>
      <c r="AK1265" s="55">
        <v>0</v>
      </c>
      <c r="AL1265" s="55">
        <v>44933</v>
      </c>
      <c r="AM1265" s="55">
        <v>1713</v>
      </c>
      <c r="AN1265" s="55">
        <v>8585850</v>
      </c>
      <c r="AO1265" s="55">
        <v>4625100</v>
      </c>
      <c r="AP1265" s="55">
        <v>0</v>
      </c>
      <c r="AQ1265" s="55">
        <v>45947930628800</v>
      </c>
      <c r="AR1265" s="55">
        <v>282329195560</v>
      </c>
      <c r="AS1265" s="55">
        <v>190515916000</v>
      </c>
      <c r="AT1265" s="55">
        <v>325442308000.10999</v>
      </c>
      <c r="AU1265" s="55">
        <v>70366454</v>
      </c>
      <c r="AV1265" s="99">
        <v>51520028781.614441</v>
      </c>
    </row>
    <row r="1266" spans="1:48">
      <c r="A1266" s="92">
        <v>45526</v>
      </c>
      <c r="B1266" s="55">
        <v>112396509999.66</v>
      </c>
      <c r="C1266" s="55">
        <v>0</v>
      </c>
      <c r="D1266" s="55">
        <v>0</v>
      </c>
      <c r="E1266" s="55">
        <v>0</v>
      </c>
      <c r="F1266" s="55">
        <v>112396509999.66</v>
      </c>
      <c r="G1266" s="55">
        <v>30347058</v>
      </c>
      <c r="H1266" s="55">
        <v>4596482000</v>
      </c>
      <c r="I1266" s="55">
        <v>0</v>
      </c>
      <c r="J1266" s="55">
        <v>4596482000</v>
      </c>
      <c r="K1266" s="55">
        <v>0</v>
      </c>
      <c r="L1266" s="55">
        <v>20235914000</v>
      </c>
      <c r="M1266" s="55">
        <v>3373900000</v>
      </c>
      <c r="N1266" s="55">
        <v>23609814000</v>
      </c>
      <c r="O1266" s="55">
        <v>7463069000</v>
      </c>
      <c r="P1266" s="55">
        <v>0</v>
      </c>
      <c r="Q1266" s="55">
        <v>7463069000</v>
      </c>
      <c r="R1266" s="55">
        <v>1362594000</v>
      </c>
      <c r="S1266" s="55">
        <v>0</v>
      </c>
      <c r="T1266" s="55">
        <v>1362594000</v>
      </c>
      <c r="U1266" s="55">
        <v>301268000</v>
      </c>
      <c r="V1266" s="55">
        <v>0</v>
      </c>
      <c r="W1266" s="55">
        <v>301268000</v>
      </c>
      <c r="X1266" s="55">
        <v>1147929000</v>
      </c>
      <c r="Y1266" s="55">
        <v>0</v>
      </c>
      <c r="Z1266" s="55">
        <v>1147929000</v>
      </c>
      <c r="AA1266" s="55">
        <v>230109000</v>
      </c>
      <c r="AB1266" s="55">
        <v>0</v>
      </c>
      <c r="AC1266" s="55">
        <v>230109000</v>
      </c>
      <c r="AD1266" s="55">
        <v>0</v>
      </c>
      <c r="AE1266" s="55">
        <v>0</v>
      </c>
      <c r="AF1266" s="55">
        <v>0</v>
      </c>
      <c r="AG1266" s="55">
        <v>0</v>
      </c>
      <c r="AH1266" s="55">
        <v>0</v>
      </c>
      <c r="AI1266" s="55">
        <v>0</v>
      </c>
      <c r="AJ1266" s="55">
        <v>4423737</v>
      </c>
      <c r="AK1266" s="55">
        <v>0</v>
      </c>
      <c r="AL1266" s="55">
        <v>44933</v>
      </c>
      <c r="AM1266" s="55">
        <v>951</v>
      </c>
      <c r="AN1266" s="55">
        <v>6780450</v>
      </c>
      <c r="AO1266" s="55">
        <v>2567700</v>
      </c>
      <c r="AP1266" s="55">
        <v>0</v>
      </c>
      <c r="AQ1266" s="55">
        <v>34605475135400</v>
      </c>
      <c r="AR1266" s="55">
        <v>101982970220</v>
      </c>
      <c r="AS1266" s="55">
        <v>42546244000</v>
      </c>
      <c r="AT1266" s="55">
        <v>154942753999.66</v>
      </c>
      <c r="AU1266" s="55">
        <v>44118945</v>
      </c>
      <c r="AV1266" s="99">
        <v>51564147726.614441</v>
      </c>
    </row>
    <row r="1267" spans="1:48">
      <c r="A1267" s="92">
        <v>45527</v>
      </c>
      <c r="B1267" s="55">
        <f>[1]Sheet1!C1532</f>
        <v>142133706000</v>
      </c>
      <c r="C1267" s="55">
        <f>[1]Sheet1!D1532</f>
        <v>6461830600</v>
      </c>
      <c r="D1267" s="55">
        <f>[1]Sheet1!E1532</f>
        <v>0</v>
      </c>
      <c r="E1267" s="55">
        <f>[1]Sheet1!F1532</f>
        <v>9474885050</v>
      </c>
      <c r="F1267" s="55">
        <f>[1]Sheet1!G1532</f>
        <v>158070421650</v>
      </c>
      <c r="G1267" s="55">
        <f>[1]Sheet1!H1532</f>
        <v>42679014</v>
      </c>
      <c r="H1267" s="55">
        <f>[1]Sheet1!I1532</f>
        <v>1795636000</v>
      </c>
      <c r="I1267" s="55">
        <f>[1]Sheet1!J1532</f>
        <v>13758000000</v>
      </c>
      <c r="J1267" s="55">
        <f>[1]Sheet1!K1532</f>
        <v>15553636000</v>
      </c>
      <c r="K1267" s="55">
        <f>[1]Sheet1!L1532</f>
        <v>0</v>
      </c>
      <c r="L1267" s="55">
        <f>[1]Sheet1!M1532</f>
        <v>31897460000</v>
      </c>
      <c r="M1267" s="55">
        <f>[1]Sheet1!N1532</f>
        <v>0</v>
      </c>
      <c r="N1267" s="55">
        <f>[1]Sheet1!O1532</f>
        <v>31897460000</v>
      </c>
      <c r="O1267" s="55">
        <f>[1]Sheet1!P1532</f>
        <v>3582613000</v>
      </c>
      <c r="P1267" s="55">
        <f>[1]Sheet1!Q1532</f>
        <v>1037400000</v>
      </c>
      <c r="Q1267" s="55">
        <f>[1]Sheet1!R1532</f>
        <v>4620013000</v>
      </c>
      <c r="R1267" s="55">
        <f>[1]Sheet1!S1532</f>
        <v>791825000</v>
      </c>
      <c r="S1267" s="55">
        <f>[1]Sheet1!T1532</f>
        <v>0</v>
      </c>
      <c r="T1267" s="55">
        <f>[1]Sheet1!U1532</f>
        <v>791825000</v>
      </c>
      <c r="U1267" s="55">
        <f>[1]Sheet1!V1532</f>
        <v>8099657000</v>
      </c>
      <c r="V1267" s="55">
        <f>[1]Sheet1!W1532</f>
        <v>0</v>
      </c>
      <c r="W1267" s="55">
        <f>[1]Sheet1!X1532</f>
        <v>8099657000</v>
      </c>
      <c r="X1267" s="55">
        <f>[1]Sheet1!Y1532</f>
        <v>52494000</v>
      </c>
      <c r="Y1267" s="55">
        <f>[1]Sheet1!Z1532</f>
        <v>0</v>
      </c>
      <c r="Z1267" s="55">
        <f>[1]Sheet1!AA1532</f>
        <v>52494000</v>
      </c>
      <c r="AA1267" s="55">
        <f>[1]Sheet1!AB1532</f>
        <v>309108000</v>
      </c>
      <c r="AB1267" s="55">
        <f>[1]Sheet1!AC1532</f>
        <v>0</v>
      </c>
      <c r="AC1267" s="55">
        <f>[1]Sheet1!AD1532</f>
        <v>309108000</v>
      </c>
      <c r="AD1267" s="55">
        <f>[1]Sheet1!AE1532</f>
        <v>0</v>
      </c>
      <c r="AE1267" s="55">
        <f>[1]Sheet1!AF1532</f>
        <v>0</v>
      </c>
      <c r="AF1267" s="55">
        <f>[1]Sheet1!AG1532</f>
        <v>0</v>
      </c>
      <c r="AG1267" s="55">
        <f>[1]Sheet1!AH1532</f>
        <v>0</v>
      </c>
      <c r="AH1267" s="55">
        <f>[1]Sheet1!AI1532</f>
        <v>703650000</v>
      </c>
      <c r="AI1267" s="55">
        <f>[1]Sheet1!AJ1532</f>
        <v>703650000</v>
      </c>
      <c r="AJ1267" s="55">
        <f>[1]Sheet1!AK1532</f>
        <v>7814939</v>
      </c>
      <c r="AK1267" s="55">
        <f>[1]Sheet1!AL1532</f>
        <v>0</v>
      </c>
      <c r="AL1267" s="55">
        <f>[1]Sheet1!AM1532</f>
        <v>44933</v>
      </c>
      <c r="AM1267" s="55">
        <f>[1]Sheet1!AN1532</f>
        <v>1567</v>
      </c>
      <c r="AN1267" s="55">
        <f>[1]Sheet1!AO1532</f>
        <v>27157500</v>
      </c>
      <c r="AO1267" s="55">
        <f>[1]Sheet1!AP1532</f>
        <v>4230900</v>
      </c>
      <c r="AP1267" s="55">
        <f>[1]Sheet1!AQ1532</f>
        <v>0</v>
      </c>
      <c r="AQ1267" s="55">
        <f>[1]Sheet1!AR1532</f>
        <v>37409070811000</v>
      </c>
      <c r="AR1267" s="55">
        <f>[1]Sheet1!AS1532</f>
        <v>140638679500</v>
      </c>
      <c r="AS1267" s="55">
        <f>[1]Sheet1!AT1532</f>
        <v>86035180000</v>
      </c>
      <c r="AT1267" s="55">
        <f>[1]Sheet1!AU1532</f>
        <v>244105601650</v>
      </c>
      <c r="AU1267" s="55">
        <f t="shared" ref="AU1267" si="838">G1267+AJ1267+AK1267+AN1267+AO1267+AP1267</f>
        <v>81882353</v>
      </c>
      <c r="AV1267" s="99">
        <f t="shared" ref="AV1267" si="839">AV1266+AU1267</f>
        <v>51646030079.614441</v>
      </c>
    </row>
    <row r="1268" spans="1:48">
      <c r="A1268" s="92">
        <v>45530</v>
      </c>
      <c r="B1268" s="55">
        <v>94057060000</v>
      </c>
      <c r="C1268" s="55">
        <v>0</v>
      </c>
      <c r="D1268" s="55">
        <v>0</v>
      </c>
      <c r="E1268" s="55">
        <v>0</v>
      </c>
      <c r="F1268" s="55">
        <v>94057060000</v>
      </c>
      <c r="G1268" s="55">
        <v>25395406</v>
      </c>
      <c r="H1268" s="55">
        <v>573806000</v>
      </c>
      <c r="I1268" s="55">
        <v>0</v>
      </c>
      <c r="J1268" s="55">
        <v>573806000</v>
      </c>
      <c r="K1268" s="55">
        <v>0</v>
      </c>
      <c r="L1268" s="55">
        <v>33929860000</v>
      </c>
      <c r="M1268" s="55">
        <v>0</v>
      </c>
      <c r="N1268" s="55">
        <v>33929860000</v>
      </c>
      <c r="O1268" s="55">
        <v>4104661000</v>
      </c>
      <c r="P1268" s="55">
        <v>0</v>
      </c>
      <c r="Q1268" s="55">
        <v>4104661000</v>
      </c>
      <c r="R1268" s="55">
        <v>85388000</v>
      </c>
      <c r="S1268" s="55">
        <v>0</v>
      </c>
      <c r="T1268" s="55">
        <v>85388000</v>
      </c>
      <c r="U1268" s="55">
        <v>311840000</v>
      </c>
      <c r="V1268" s="55">
        <v>0</v>
      </c>
      <c r="W1268" s="55">
        <v>311840000</v>
      </c>
      <c r="X1268" s="55">
        <v>55305000</v>
      </c>
      <c r="Y1268" s="55">
        <v>0</v>
      </c>
      <c r="Z1268" s="55">
        <v>55305000</v>
      </c>
      <c r="AA1268" s="55">
        <v>52164000</v>
      </c>
      <c r="AB1268" s="55">
        <v>0</v>
      </c>
      <c r="AC1268" s="55">
        <v>52164000</v>
      </c>
      <c r="AD1268" s="55">
        <v>27566000</v>
      </c>
      <c r="AE1268" s="55">
        <v>0</v>
      </c>
      <c r="AF1268" s="55">
        <v>27566000</v>
      </c>
      <c r="AG1268" s="55">
        <v>0</v>
      </c>
      <c r="AH1268" s="55">
        <v>0</v>
      </c>
      <c r="AI1268" s="55">
        <v>0</v>
      </c>
      <c r="AJ1268" s="55">
        <v>4227184</v>
      </c>
      <c r="AK1268" s="55">
        <v>0</v>
      </c>
      <c r="AL1268" s="55">
        <v>44933</v>
      </c>
      <c r="AM1268" s="55">
        <v>970</v>
      </c>
      <c r="AN1268" s="55">
        <v>9644100</v>
      </c>
      <c r="AO1268" s="55">
        <v>2619000</v>
      </c>
      <c r="AP1268" s="55">
        <v>0</v>
      </c>
      <c r="AQ1268" s="55">
        <v>40135436581600</v>
      </c>
      <c r="AR1268" s="55">
        <v>112758541780</v>
      </c>
      <c r="AS1268" s="55">
        <v>39958294000</v>
      </c>
      <c r="AT1268" s="55">
        <v>134015354000</v>
      </c>
      <c r="AU1268" s="55">
        <v>41885690</v>
      </c>
      <c r="AV1268" s="99">
        <v>51687915769.614441</v>
      </c>
    </row>
    <row r="1269" spans="1:48">
      <c r="A1269" s="92">
        <v>45531</v>
      </c>
      <c r="B1269" s="55">
        <v>56365249999.899994</v>
      </c>
      <c r="C1269" s="55">
        <v>0</v>
      </c>
      <c r="D1269" s="55">
        <v>0</v>
      </c>
      <c r="E1269" s="55">
        <v>0</v>
      </c>
      <c r="F1269" s="55">
        <v>56365249999.899994</v>
      </c>
      <c r="G1269" s="55">
        <v>15218617</v>
      </c>
      <c r="H1269" s="55">
        <v>263094000</v>
      </c>
      <c r="I1269" s="55">
        <v>4614600000</v>
      </c>
      <c r="J1269" s="55">
        <v>4877694000</v>
      </c>
      <c r="K1269" s="55">
        <v>0</v>
      </c>
      <c r="L1269" s="55">
        <v>18735096000</v>
      </c>
      <c r="M1269" s="55">
        <v>3329300000</v>
      </c>
      <c r="N1269" s="55">
        <v>22064396000</v>
      </c>
      <c r="O1269" s="55">
        <v>29112000</v>
      </c>
      <c r="P1269" s="55">
        <v>0</v>
      </c>
      <c r="Q1269" s="55">
        <v>29112000</v>
      </c>
      <c r="R1269" s="55">
        <v>1043468000</v>
      </c>
      <c r="S1269" s="55">
        <v>0</v>
      </c>
      <c r="T1269" s="55">
        <v>1043468000</v>
      </c>
      <c r="U1269" s="55">
        <v>353885000</v>
      </c>
      <c r="V1269" s="55">
        <v>0</v>
      </c>
      <c r="W1269" s="55">
        <v>353885000</v>
      </c>
      <c r="X1269" s="55">
        <v>2192080000</v>
      </c>
      <c r="Y1269" s="55">
        <v>0</v>
      </c>
      <c r="Z1269" s="55">
        <v>2192080000</v>
      </c>
      <c r="AA1269" s="55">
        <v>48120000</v>
      </c>
      <c r="AB1269" s="55">
        <v>0</v>
      </c>
      <c r="AC1269" s="55">
        <v>48120000</v>
      </c>
      <c r="AD1269" s="55">
        <v>0</v>
      </c>
      <c r="AE1269" s="55">
        <v>0</v>
      </c>
      <c r="AF1269" s="55">
        <v>0</v>
      </c>
      <c r="AG1269" s="55">
        <v>0</v>
      </c>
      <c r="AH1269" s="55">
        <v>0</v>
      </c>
      <c r="AI1269" s="55">
        <v>0</v>
      </c>
      <c r="AJ1269" s="55">
        <v>3877706</v>
      </c>
      <c r="AK1269" s="55">
        <v>0</v>
      </c>
      <c r="AL1269" s="55">
        <v>44933</v>
      </c>
      <c r="AM1269" s="55">
        <v>635</v>
      </c>
      <c r="AN1269" s="55">
        <v>9763950</v>
      </c>
      <c r="AO1269" s="55">
        <v>1714500</v>
      </c>
      <c r="AP1269" s="55">
        <v>0</v>
      </c>
      <c r="AQ1269" s="55">
        <v>35594417444000</v>
      </c>
      <c r="AR1269" s="55">
        <v>82766915440</v>
      </c>
      <c r="AS1269" s="55">
        <v>39208998000</v>
      </c>
      <c r="AT1269" s="55">
        <v>95574247999.899994</v>
      </c>
      <c r="AU1269" s="55">
        <v>30574773</v>
      </c>
      <c r="AV1269" s="99">
        <v>51718490542.614441</v>
      </c>
    </row>
    <row r="1270" spans="1:48">
      <c r="A1270" s="92">
        <v>45532</v>
      </c>
      <c r="B1270" s="55">
        <f>[1]Sheet1!C1535</f>
        <v>171012599000</v>
      </c>
      <c r="C1270" s="55">
        <f>[1]Sheet1!D1535</f>
        <v>0</v>
      </c>
      <c r="D1270" s="55">
        <f>[1]Sheet1!E1535</f>
        <v>0</v>
      </c>
      <c r="E1270" s="55">
        <f>[1]Sheet1!F1535</f>
        <v>0</v>
      </c>
      <c r="F1270" s="55">
        <f>[1]Sheet1!G1535</f>
        <v>171012599000</v>
      </c>
      <c r="G1270" s="55">
        <f>[1]Sheet1!H1535</f>
        <v>46173402</v>
      </c>
      <c r="H1270" s="55">
        <f>[1]Sheet1!I1535</f>
        <v>445585000</v>
      </c>
      <c r="I1270" s="55">
        <f>[1]Sheet1!J1535</f>
        <v>38337080000</v>
      </c>
      <c r="J1270" s="55">
        <f>[1]Sheet1!K1535</f>
        <v>38782665000</v>
      </c>
      <c r="K1270" s="55">
        <f>[1]Sheet1!L1535</f>
        <v>0</v>
      </c>
      <c r="L1270" s="55">
        <f>[1]Sheet1!M1535</f>
        <v>6747453000</v>
      </c>
      <c r="M1270" s="55">
        <f>[1]Sheet1!N1535</f>
        <v>3330900000</v>
      </c>
      <c r="N1270" s="55">
        <f>[1]Sheet1!O1535</f>
        <v>10078353000</v>
      </c>
      <c r="O1270" s="55">
        <f>[1]Sheet1!P1535</f>
        <v>8456433000</v>
      </c>
      <c r="P1270" s="55">
        <f>[1]Sheet1!Q1535</f>
        <v>0</v>
      </c>
      <c r="Q1270" s="55">
        <f>[1]Sheet1!R1535</f>
        <v>8456433000</v>
      </c>
      <c r="R1270" s="55">
        <f>[1]Sheet1!S1535</f>
        <v>3312279000</v>
      </c>
      <c r="S1270" s="55">
        <f>[1]Sheet1!T1535</f>
        <v>0</v>
      </c>
      <c r="T1270" s="55">
        <f>[1]Sheet1!U1535</f>
        <v>3312279000</v>
      </c>
      <c r="U1270" s="55">
        <f>[1]Sheet1!V1535</f>
        <v>8363986000</v>
      </c>
      <c r="V1270" s="55">
        <f>[1]Sheet1!W1535</f>
        <v>0</v>
      </c>
      <c r="W1270" s="55">
        <f>[1]Sheet1!X1535</f>
        <v>8363986000</v>
      </c>
      <c r="X1270" s="55">
        <f>[1]Sheet1!Y1535</f>
        <v>84582000</v>
      </c>
      <c r="Y1270" s="55">
        <f>[1]Sheet1!Z1535</f>
        <v>8830000000</v>
      </c>
      <c r="Z1270" s="55">
        <f>[1]Sheet1!AA1535</f>
        <v>8914582000</v>
      </c>
      <c r="AA1270" s="55">
        <f>[1]Sheet1!AB1535</f>
        <v>57602000</v>
      </c>
      <c r="AB1270" s="55">
        <f>[1]Sheet1!AC1535</f>
        <v>0</v>
      </c>
      <c r="AC1270" s="55">
        <f>[1]Sheet1!AD1535</f>
        <v>57602000</v>
      </c>
      <c r="AD1270" s="55">
        <f>[1]Sheet1!AE1535</f>
        <v>1254000</v>
      </c>
      <c r="AE1270" s="55">
        <f>[1]Sheet1!AF1535</f>
        <v>0</v>
      </c>
      <c r="AF1270" s="55">
        <f>[1]Sheet1!AG1535</f>
        <v>1254000</v>
      </c>
      <c r="AG1270" s="55">
        <f>[1]Sheet1!AH1535</f>
        <v>0</v>
      </c>
      <c r="AH1270" s="55">
        <f>[1]Sheet1!AI1535</f>
        <v>0</v>
      </c>
      <c r="AI1270" s="55">
        <f>[1]Sheet1!AJ1535</f>
        <v>0</v>
      </c>
      <c r="AJ1270" s="55">
        <f>[1]Sheet1!AK1535</f>
        <v>12056307</v>
      </c>
      <c r="AK1270" s="55">
        <f>[1]Sheet1!AL1535</f>
        <v>0</v>
      </c>
      <c r="AL1270" s="55">
        <f>[1]Sheet1!AM1535</f>
        <v>44933</v>
      </c>
      <c r="AM1270" s="55">
        <f>[1]Sheet1!AN1535</f>
        <v>1592</v>
      </c>
      <c r="AN1270" s="55">
        <f>[1]Sheet1!AO1535</f>
        <v>9656850</v>
      </c>
      <c r="AO1270" s="55">
        <f>[1]Sheet1!AP1535</f>
        <v>4298400</v>
      </c>
      <c r="AP1270" s="55">
        <f>[1]Sheet1!AQ1535</f>
        <v>0</v>
      </c>
      <c r="AQ1270" s="55">
        <f>[1]Sheet1!AR1535</f>
        <v>35996162334800</v>
      </c>
      <c r="AR1270" s="55">
        <f>[1]Sheet1!AS1535</f>
        <v>202194423840</v>
      </c>
      <c r="AS1270" s="55">
        <f>[1]Sheet1!AT1535</f>
        <v>137503303000</v>
      </c>
      <c r="AT1270" s="55">
        <f>[1]Sheet1!AU1535</f>
        <v>308515902000</v>
      </c>
      <c r="AU1270" s="55">
        <f t="shared" ref="AU1270:AU1271" si="840">G1270+AJ1270+AK1270+AN1270+AO1270+AP1270</f>
        <v>72184959</v>
      </c>
      <c r="AV1270" s="99">
        <f t="shared" ref="AV1270:AV1271" si="841">AV1269+AU1270</f>
        <v>51790675501.614441</v>
      </c>
    </row>
    <row r="1271" spans="1:48">
      <c r="A1271" s="92">
        <v>45533</v>
      </c>
      <c r="B1271" s="55">
        <v>89651638000.079987</v>
      </c>
      <c r="C1271" s="55">
        <v>0</v>
      </c>
      <c r="D1271" s="55">
        <v>0</v>
      </c>
      <c r="E1271" s="55">
        <v>0</v>
      </c>
      <c r="F1271" s="55">
        <v>89651638000.079987</v>
      </c>
      <c r="G1271" s="55">
        <v>24205942</v>
      </c>
      <c r="H1271" s="55">
        <v>623063000</v>
      </c>
      <c r="I1271" s="55">
        <v>2321100000</v>
      </c>
      <c r="J1271" s="55">
        <v>2944163000</v>
      </c>
      <c r="K1271" s="55">
        <v>0</v>
      </c>
      <c r="L1271" s="55">
        <v>6067514000</v>
      </c>
      <c r="M1271" s="55">
        <v>3343500000</v>
      </c>
      <c r="N1271" s="55">
        <v>9411014000</v>
      </c>
      <c r="O1271" s="55">
        <v>32116462000</v>
      </c>
      <c r="P1271" s="55">
        <v>0</v>
      </c>
      <c r="Q1271" s="55">
        <v>32116462000</v>
      </c>
      <c r="R1271" s="55">
        <v>3733032000</v>
      </c>
      <c r="S1271" s="55">
        <v>0</v>
      </c>
      <c r="T1271" s="55">
        <v>3733032000</v>
      </c>
      <c r="U1271" s="55">
        <v>226053000</v>
      </c>
      <c r="V1271" s="55">
        <v>0</v>
      </c>
      <c r="W1271" s="55">
        <v>226053000</v>
      </c>
      <c r="X1271" s="55">
        <v>0</v>
      </c>
      <c r="Y1271" s="55">
        <v>0</v>
      </c>
      <c r="Z1271" s="55">
        <v>0</v>
      </c>
      <c r="AA1271" s="55">
        <v>1264739000</v>
      </c>
      <c r="AB1271" s="55">
        <v>24140000000</v>
      </c>
      <c r="AC1271" s="55">
        <v>25404739000</v>
      </c>
      <c r="AD1271" s="55">
        <v>10098000</v>
      </c>
      <c r="AE1271" s="55">
        <v>0</v>
      </c>
      <c r="AF1271" s="55">
        <v>10098000</v>
      </c>
      <c r="AG1271" s="55">
        <v>0</v>
      </c>
      <c r="AH1271" s="55">
        <v>0</v>
      </c>
      <c r="AI1271" s="55">
        <v>0</v>
      </c>
      <c r="AJ1271" s="55">
        <v>10121252</v>
      </c>
      <c r="AK1271" s="55">
        <v>0</v>
      </c>
      <c r="AL1271" s="55">
        <v>44933</v>
      </c>
      <c r="AM1271" s="55">
        <v>1004</v>
      </c>
      <c r="AN1271" s="55">
        <v>10207650</v>
      </c>
      <c r="AO1271" s="55">
        <v>2710800</v>
      </c>
      <c r="AP1271" s="55">
        <v>0</v>
      </c>
      <c r="AQ1271" s="55">
        <v>30244151234000</v>
      </c>
      <c r="AR1271" s="55">
        <v>178365837160</v>
      </c>
      <c r="AS1271" s="55">
        <v>104368038000</v>
      </c>
      <c r="AT1271" s="55">
        <v>194019676000.07999</v>
      </c>
      <c r="AU1271" s="55">
        <v>47245644</v>
      </c>
      <c r="AV1271" s="99">
        <v>51837921145.614441</v>
      </c>
    </row>
    <row r="1272" spans="1:48">
      <c r="A1272" s="92">
        <v>45534</v>
      </c>
      <c r="B1272" s="55">
        <f>[1]Sheet1!C1538</f>
        <v>49729779999.980011</v>
      </c>
      <c r="C1272" s="55">
        <f>[1]Sheet1!D1538</f>
        <v>2864061600</v>
      </c>
      <c r="D1272" s="55">
        <f>[1]Sheet1!E1538</f>
        <v>1188100000</v>
      </c>
      <c r="E1272" s="55">
        <f>[1]Sheet1!F1538</f>
        <v>2563125000</v>
      </c>
      <c r="F1272" s="55">
        <f>[1]Sheet1!G1538</f>
        <v>56345066599.980011</v>
      </c>
      <c r="G1272" s="55">
        <f>[1]Sheet1!H1538</f>
        <v>15213168</v>
      </c>
      <c r="H1272" s="55">
        <f>[1]Sheet1!I1538</f>
        <v>2501154000</v>
      </c>
      <c r="I1272" s="55">
        <f>[1]Sheet1!J1538</f>
        <v>4633800000</v>
      </c>
      <c r="J1272" s="55">
        <f>[1]Sheet1!K1538</f>
        <v>7134954000</v>
      </c>
      <c r="K1272" s="55">
        <f>[1]Sheet1!L1538</f>
        <v>0</v>
      </c>
      <c r="L1272" s="55">
        <f>[1]Sheet1!M1538</f>
        <v>8175415000</v>
      </c>
      <c r="M1272" s="55">
        <f>[1]Sheet1!N1538</f>
        <v>0</v>
      </c>
      <c r="N1272" s="55">
        <f>[1]Sheet1!O1538</f>
        <v>8175415000</v>
      </c>
      <c r="O1272" s="55">
        <f>[1]Sheet1!P1538</f>
        <v>12035064000</v>
      </c>
      <c r="P1272" s="55">
        <f>[1]Sheet1!Q1538</f>
        <v>0</v>
      </c>
      <c r="Q1272" s="55">
        <f>[1]Sheet1!R1538</f>
        <v>12035064000</v>
      </c>
      <c r="R1272" s="55">
        <f>[1]Sheet1!S1538</f>
        <v>2249891000</v>
      </c>
      <c r="S1272" s="55">
        <f>[1]Sheet1!T1538</f>
        <v>0</v>
      </c>
      <c r="T1272" s="55">
        <f>[1]Sheet1!U1538</f>
        <v>2249891000</v>
      </c>
      <c r="U1272" s="55">
        <f>[1]Sheet1!V1538</f>
        <v>59525000</v>
      </c>
      <c r="V1272" s="55">
        <f>[1]Sheet1!W1538</f>
        <v>0</v>
      </c>
      <c r="W1272" s="55">
        <f>[1]Sheet1!X1538</f>
        <v>59525000</v>
      </c>
      <c r="X1272" s="55">
        <f>[1]Sheet1!Y1538</f>
        <v>65714000</v>
      </c>
      <c r="Y1272" s="55">
        <f>[1]Sheet1!Z1538</f>
        <v>0</v>
      </c>
      <c r="Z1272" s="55">
        <f>[1]Sheet1!AA1538</f>
        <v>65714000</v>
      </c>
      <c r="AA1272" s="55">
        <f>[1]Sheet1!AB1538</f>
        <v>4843000</v>
      </c>
      <c r="AB1272" s="55">
        <f>[1]Sheet1!AC1538</f>
        <v>23950000000</v>
      </c>
      <c r="AC1272" s="55">
        <f>[1]Sheet1!AD1538</f>
        <v>23954843000</v>
      </c>
      <c r="AD1272" s="55">
        <f>[1]Sheet1!AE1538</f>
        <v>1251000</v>
      </c>
      <c r="AE1272" s="55">
        <f>[1]Sheet1!AF1538</f>
        <v>0</v>
      </c>
      <c r="AF1272" s="55">
        <f>[1]Sheet1!AG1538</f>
        <v>1251000</v>
      </c>
      <c r="AG1272" s="55">
        <f>[1]Sheet1!AH1538</f>
        <v>280000000</v>
      </c>
      <c r="AH1272" s="55">
        <f>[1]Sheet1!AI1538</f>
        <v>0</v>
      </c>
      <c r="AI1272" s="55">
        <f>[1]Sheet1!AJ1538</f>
        <v>280000000</v>
      </c>
      <c r="AJ1272" s="55">
        <f>[1]Sheet1!AK1538</f>
        <v>7885353</v>
      </c>
      <c r="AK1272" s="55">
        <f>[1]Sheet1!AL1538</f>
        <v>0</v>
      </c>
      <c r="AL1272" s="55">
        <f>[1]Sheet1!AM1538</f>
        <v>44933</v>
      </c>
      <c r="AM1272" s="55">
        <f>[1]Sheet1!AN1538</f>
        <v>461</v>
      </c>
      <c r="AN1272" s="55">
        <f>[1]Sheet1!AO1538</f>
        <v>34149600</v>
      </c>
      <c r="AO1272" s="55">
        <f>[1]Sheet1!AP1538</f>
        <v>1244700</v>
      </c>
      <c r="AP1272" s="55">
        <f>[1]Sheet1!AQ1538</f>
        <v>0</v>
      </c>
      <c r="AQ1272" s="55">
        <f>[1]Sheet1!AR1538</f>
        <v>30161283655200</v>
      </c>
      <c r="AR1272" s="55">
        <f>[1]Sheet1!AS1538</f>
        <v>240300212440</v>
      </c>
      <c r="AS1272" s="55">
        <f>[1]Sheet1!AT1538</f>
        <v>83437727000</v>
      </c>
      <c r="AT1272" s="55">
        <f>[1]Sheet1!AU1538</f>
        <v>139782793599.98001</v>
      </c>
      <c r="AU1272" s="55">
        <f t="shared" ref="AU1272" si="842">G1272+AJ1272+AK1272+AN1272+AO1272+AP1272</f>
        <v>58492821</v>
      </c>
      <c r="AV1272" s="99">
        <f t="shared" ref="AV1272" si="843">AV1271+AU1272</f>
        <v>51896413966.614441</v>
      </c>
    </row>
  </sheetData>
  <mergeCells count="30">
    <mergeCell ref="F2:G2"/>
    <mergeCell ref="H2:AJ2"/>
    <mergeCell ref="AL2:AO2"/>
    <mergeCell ref="A3:A4"/>
    <mergeCell ref="B3:B4"/>
    <mergeCell ref="C3:C4"/>
    <mergeCell ref="D3:D4"/>
    <mergeCell ref="E3:E4"/>
    <mergeCell ref="F3:F4"/>
    <mergeCell ref="G3:G4"/>
    <mergeCell ref="AO3:AO4"/>
    <mergeCell ref="H3:J3"/>
    <mergeCell ref="K3:K4"/>
    <mergeCell ref="L3:N3"/>
    <mergeCell ref="O3:Q3"/>
    <mergeCell ref="AJ3:AJ4"/>
    <mergeCell ref="AK3:AK4"/>
    <mergeCell ref="AL3:AL4"/>
    <mergeCell ref="AM3:AM4"/>
    <mergeCell ref="U3:W3"/>
    <mergeCell ref="AT3:AT4"/>
    <mergeCell ref="AN3:AN4"/>
    <mergeCell ref="AP3:AP4"/>
    <mergeCell ref="AQ3:AQ4"/>
    <mergeCell ref="AR3:AR4"/>
    <mergeCell ref="AS3:AS4"/>
    <mergeCell ref="X3:Z3"/>
    <mergeCell ref="AA3:AC3"/>
    <mergeCell ref="AD3:AF3"/>
    <mergeCell ref="AG3:AI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Anh Nguyen</dc:creator>
  <cp:lastModifiedBy>Vi Nguyen Thanh Tuong</cp:lastModifiedBy>
  <dcterms:created xsi:type="dcterms:W3CDTF">2020-09-14T10:08:06Z</dcterms:created>
  <dcterms:modified xsi:type="dcterms:W3CDTF">2024-08-30T08:10:21Z</dcterms:modified>
</cp:coreProperties>
</file>