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mc:AlternateContent xmlns:mc="http://schemas.openxmlformats.org/markup-compatibility/2006">
    <mc:Choice Requires="x15">
      <x15ac:absPath xmlns:x15ac="http://schemas.microsoft.com/office/spreadsheetml/2010/11/ac" url="/Users/jacob/Desktop/Vibers/Projects/2025/Verish/"/>
    </mc:Choice>
  </mc:AlternateContent>
  <xr:revisionPtr revIDLastSave="0" documentId="8_{107DA4E2-79D7-C84B-ADA3-6050ADD20B7F}" xr6:coauthVersionLast="47" xr6:coauthVersionMax="47" xr10:uidLastSave="{00000000-0000-0000-0000-000000000000}"/>
  <bookViews>
    <workbookView xWindow="2140" yWindow="2180" windowWidth="26840" windowHeight="15920" xr2:uid="{A3E41E42-9EF4-3848-910D-43E5DAF16124}"/>
  </bookViews>
  <sheets>
    <sheet name="Tiktok #skimspartner" sheetId="1" r:id="rId1"/>
  </sheets>
  <definedNames>
    <definedName name="_xlnm._FilterDatabase" localSheetId="0" hidden="1">'Tiktok #skimspartner'!$A$2:$AB$267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 l="1"/>
  <c r="I3" i="1"/>
  <c r="J3" i="1"/>
  <c r="K3" i="1"/>
  <c r="L3" i="1"/>
  <c r="M3" i="1"/>
  <c r="N3" i="1"/>
  <c r="O3" i="1"/>
  <c r="H4" i="1"/>
  <c r="I4" i="1"/>
  <c r="J4" i="1"/>
  <c r="K4" i="1"/>
  <c r="L4" i="1"/>
  <c r="M4" i="1"/>
  <c r="N4" i="1"/>
  <c r="O4" i="1"/>
  <c r="H5" i="1"/>
  <c r="I5" i="1"/>
  <c r="J5" i="1"/>
  <c r="K5" i="1"/>
  <c r="L5" i="1"/>
  <c r="M5" i="1"/>
  <c r="N5" i="1"/>
  <c r="O5" i="1"/>
  <c r="H6" i="1"/>
  <c r="I6" i="1"/>
  <c r="J6" i="1"/>
  <c r="K6" i="1"/>
  <c r="L6" i="1"/>
  <c r="O6" i="1" s="1"/>
  <c r="M6" i="1"/>
  <c r="N6" i="1"/>
  <c r="H7" i="1"/>
  <c r="I7" i="1"/>
  <c r="J7" i="1"/>
  <c r="K7" i="1"/>
  <c r="L7" i="1"/>
  <c r="O7" i="1" s="1"/>
  <c r="M7" i="1"/>
  <c r="N7" i="1"/>
  <c r="H8" i="1"/>
  <c r="I8" i="1"/>
  <c r="J8" i="1"/>
  <c r="K8" i="1"/>
  <c r="L8" i="1"/>
  <c r="M8" i="1"/>
  <c r="N8" i="1"/>
  <c r="O8" i="1"/>
  <c r="H9" i="1"/>
  <c r="I9" i="1"/>
  <c r="J9" i="1"/>
  <c r="K9" i="1"/>
  <c r="L9" i="1"/>
  <c r="M9" i="1"/>
  <c r="N9" i="1"/>
  <c r="O9" i="1"/>
  <c r="H10" i="1"/>
  <c r="I10" i="1"/>
  <c r="J10" i="1"/>
  <c r="K10" i="1"/>
  <c r="L10" i="1"/>
  <c r="M10" i="1"/>
  <c r="N10" i="1"/>
  <c r="O10" i="1"/>
  <c r="H11" i="1"/>
  <c r="I11" i="1"/>
  <c r="J11" i="1"/>
  <c r="K11" i="1"/>
  <c r="L11" i="1"/>
  <c r="O11" i="1" s="1"/>
  <c r="M11" i="1"/>
  <c r="N11" i="1"/>
  <c r="H12" i="1"/>
  <c r="I12" i="1"/>
  <c r="J12" i="1"/>
  <c r="K12" i="1"/>
  <c r="L12" i="1"/>
  <c r="O12" i="1" s="1"/>
  <c r="M12" i="1"/>
  <c r="N12" i="1"/>
  <c r="H13" i="1"/>
  <c r="I13" i="1"/>
  <c r="J13" i="1"/>
  <c r="K13" i="1"/>
  <c r="L13" i="1"/>
  <c r="M13" i="1"/>
  <c r="N13" i="1"/>
  <c r="O13" i="1"/>
  <c r="H14" i="1"/>
  <c r="I14" i="1"/>
  <c r="J14" i="1"/>
  <c r="K14" i="1"/>
  <c r="L14" i="1"/>
  <c r="M14" i="1"/>
  <c r="N14" i="1"/>
  <c r="O14" i="1"/>
  <c r="H15" i="1"/>
  <c r="I15" i="1"/>
  <c r="J15" i="1"/>
  <c r="K15" i="1"/>
  <c r="L15" i="1"/>
  <c r="M15" i="1"/>
  <c r="N15" i="1"/>
  <c r="O15" i="1"/>
  <c r="H16" i="1"/>
  <c r="I16" i="1"/>
  <c r="J16" i="1"/>
  <c r="K16" i="1"/>
  <c r="L16" i="1"/>
  <c r="O16" i="1" s="1"/>
  <c r="M16" i="1"/>
  <c r="N16" i="1"/>
  <c r="H17" i="1"/>
  <c r="I17" i="1"/>
  <c r="J17" i="1"/>
  <c r="K17" i="1"/>
  <c r="L17" i="1"/>
  <c r="O17" i="1" s="1"/>
  <c r="M17" i="1"/>
  <c r="N17" i="1"/>
  <c r="H18" i="1"/>
  <c r="I18" i="1"/>
  <c r="J18" i="1"/>
  <c r="K18" i="1"/>
  <c r="L18" i="1"/>
  <c r="M18" i="1"/>
  <c r="N18" i="1"/>
  <c r="O18" i="1"/>
  <c r="H19" i="1"/>
  <c r="I19" i="1"/>
  <c r="J19" i="1"/>
  <c r="K19" i="1"/>
  <c r="L19" i="1"/>
  <c r="M19" i="1"/>
  <c r="N19" i="1"/>
  <c r="O19" i="1"/>
  <c r="H20" i="1"/>
  <c r="I20" i="1"/>
  <c r="J20" i="1"/>
  <c r="K20" i="1"/>
  <c r="L20" i="1"/>
  <c r="M20" i="1"/>
  <c r="N20" i="1"/>
  <c r="O20" i="1"/>
  <c r="H21" i="1"/>
  <c r="I21" i="1"/>
  <c r="J21" i="1"/>
  <c r="K21" i="1"/>
  <c r="L21" i="1"/>
  <c r="O21" i="1" s="1"/>
  <c r="M21" i="1"/>
  <c r="N21" i="1"/>
  <c r="H22" i="1"/>
  <c r="I22" i="1"/>
  <c r="J22" i="1"/>
  <c r="K22" i="1"/>
  <c r="L22" i="1"/>
  <c r="O22" i="1" s="1"/>
  <c r="M22" i="1"/>
  <c r="N22" i="1"/>
  <c r="H23" i="1"/>
  <c r="I23" i="1"/>
  <c r="J23" i="1"/>
  <c r="K23" i="1"/>
  <c r="L23" i="1"/>
  <c r="M23" i="1"/>
  <c r="N23" i="1"/>
  <c r="O23" i="1"/>
  <c r="H24" i="1"/>
  <c r="I24" i="1"/>
  <c r="J24" i="1"/>
  <c r="K24" i="1"/>
  <c r="L24" i="1"/>
  <c r="M24" i="1"/>
  <c r="N24" i="1"/>
  <c r="O24" i="1"/>
  <c r="H25" i="1"/>
  <c r="I25" i="1"/>
  <c r="J25" i="1"/>
  <c r="K25" i="1"/>
  <c r="L25" i="1"/>
  <c r="M25" i="1"/>
  <c r="N25" i="1"/>
  <c r="O25" i="1"/>
  <c r="H26" i="1"/>
  <c r="I26" i="1"/>
  <c r="J26" i="1"/>
  <c r="K26" i="1"/>
  <c r="L26" i="1"/>
  <c r="O26" i="1" s="1"/>
  <c r="M26" i="1"/>
  <c r="N26" i="1"/>
  <c r="H27" i="1"/>
  <c r="I27" i="1"/>
  <c r="J27" i="1"/>
  <c r="K27" i="1"/>
  <c r="L27" i="1"/>
  <c r="O27" i="1" s="1"/>
  <c r="M27" i="1"/>
  <c r="N27" i="1"/>
  <c r="H28" i="1"/>
  <c r="I28" i="1"/>
  <c r="J28" i="1"/>
  <c r="K28" i="1"/>
  <c r="L28" i="1"/>
  <c r="M28" i="1"/>
  <c r="N28" i="1"/>
  <c r="O28" i="1"/>
  <c r="H29" i="1"/>
  <c r="I29" i="1"/>
  <c r="J29" i="1"/>
  <c r="K29" i="1"/>
  <c r="L29" i="1"/>
  <c r="M29" i="1"/>
  <c r="N29" i="1"/>
  <c r="O29" i="1"/>
  <c r="H30" i="1"/>
  <c r="I30" i="1"/>
  <c r="J30" i="1"/>
  <c r="K30" i="1"/>
  <c r="L30" i="1"/>
  <c r="M30" i="1"/>
  <c r="N30" i="1"/>
  <c r="O30" i="1"/>
  <c r="H31" i="1"/>
  <c r="I31" i="1"/>
  <c r="J31" i="1"/>
  <c r="K31" i="1"/>
  <c r="L31" i="1"/>
  <c r="O31" i="1" s="1"/>
  <c r="M31" i="1"/>
  <c r="N31" i="1"/>
  <c r="H32" i="1"/>
  <c r="I32" i="1"/>
  <c r="J32" i="1"/>
  <c r="K32" i="1"/>
  <c r="L32" i="1"/>
  <c r="O32" i="1" s="1"/>
  <c r="M32" i="1"/>
  <c r="N32" i="1"/>
  <c r="H33" i="1"/>
  <c r="I33" i="1"/>
  <c r="J33" i="1"/>
  <c r="K33" i="1"/>
  <c r="L33" i="1"/>
  <c r="M33" i="1"/>
  <c r="N33" i="1"/>
  <c r="O33" i="1"/>
  <c r="H34" i="1"/>
  <c r="I34" i="1"/>
  <c r="J34" i="1"/>
  <c r="K34" i="1"/>
  <c r="L34" i="1"/>
  <c r="M34" i="1"/>
  <c r="N34" i="1"/>
  <c r="O34" i="1"/>
  <c r="H35" i="1"/>
  <c r="I35" i="1"/>
  <c r="J35" i="1"/>
  <c r="K35" i="1"/>
  <c r="L35" i="1"/>
  <c r="M35" i="1"/>
  <c r="N35" i="1"/>
  <c r="O35" i="1"/>
  <c r="H36" i="1"/>
  <c r="I36" i="1"/>
  <c r="J36" i="1"/>
  <c r="K36" i="1"/>
  <c r="L36" i="1"/>
  <c r="O36" i="1" s="1"/>
  <c r="M36" i="1"/>
  <c r="N36" i="1"/>
  <c r="H37" i="1"/>
  <c r="I37" i="1"/>
  <c r="J37" i="1"/>
  <c r="K37" i="1"/>
  <c r="L37" i="1"/>
  <c r="O37" i="1" s="1"/>
  <c r="M37" i="1"/>
  <c r="N37" i="1"/>
  <c r="H38" i="1"/>
  <c r="I38" i="1"/>
  <c r="J38" i="1"/>
  <c r="K38" i="1"/>
  <c r="L38" i="1"/>
  <c r="M38" i="1"/>
  <c r="N38" i="1"/>
  <c r="O38" i="1"/>
  <c r="H39" i="1"/>
  <c r="I39" i="1"/>
  <c r="J39" i="1"/>
  <c r="K39" i="1"/>
  <c r="L39" i="1"/>
  <c r="M39" i="1"/>
  <c r="N39" i="1"/>
  <c r="O39" i="1"/>
  <c r="H40" i="1"/>
  <c r="I40" i="1"/>
  <c r="J40" i="1"/>
  <c r="K40" i="1"/>
  <c r="L40" i="1"/>
  <c r="M40" i="1"/>
  <c r="N40" i="1"/>
  <c r="O40" i="1"/>
  <c r="H41" i="1"/>
  <c r="I41" i="1"/>
  <c r="J41" i="1"/>
  <c r="K41" i="1"/>
  <c r="L41" i="1"/>
  <c r="O41" i="1" s="1"/>
  <c r="M41" i="1"/>
  <c r="N41" i="1"/>
  <c r="H42" i="1"/>
  <c r="I42" i="1"/>
  <c r="J42" i="1"/>
  <c r="K42" i="1"/>
  <c r="L42" i="1"/>
  <c r="O42" i="1" s="1"/>
  <c r="M42" i="1"/>
  <c r="N42" i="1"/>
  <c r="H43" i="1"/>
  <c r="I43" i="1"/>
  <c r="J43" i="1"/>
  <c r="K43" i="1"/>
  <c r="L43" i="1"/>
  <c r="M43" i="1"/>
  <c r="N43" i="1"/>
  <c r="O43" i="1"/>
  <c r="H44" i="1"/>
  <c r="I44" i="1"/>
  <c r="J44" i="1"/>
  <c r="K44" i="1"/>
  <c r="L44" i="1"/>
  <c r="M44" i="1"/>
  <c r="N44" i="1"/>
  <c r="O44" i="1"/>
  <c r="H45" i="1"/>
  <c r="I45" i="1"/>
  <c r="J45" i="1"/>
  <c r="K45" i="1"/>
  <c r="L45" i="1"/>
  <c r="M45" i="1"/>
  <c r="N45" i="1"/>
  <c r="O45" i="1"/>
  <c r="H46" i="1"/>
  <c r="I46" i="1"/>
  <c r="J46" i="1"/>
  <c r="K46" i="1"/>
  <c r="L46" i="1"/>
  <c r="O46" i="1" s="1"/>
  <c r="M46" i="1"/>
  <c r="N46" i="1"/>
  <c r="H47" i="1"/>
  <c r="I47" i="1"/>
  <c r="J47" i="1"/>
  <c r="K47" i="1"/>
  <c r="L47" i="1"/>
  <c r="O47" i="1" s="1"/>
  <c r="M47" i="1"/>
  <c r="N47" i="1"/>
  <c r="H48" i="1"/>
  <c r="I48" i="1"/>
  <c r="J48" i="1"/>
  <c r="K48" i="1"/>
  <c r="L48" i="1"/>
  <c r="M48" i="1"/>
  <c r="N48" i="1"/>
  <c r="O48" i="1"/>
  <c r="H49" i="1"/>
  <c r="I49" i="1"/>
  <c r="J49" i="1"/>
  <c r="K49" i="1"/>
  <c r="L49" i="1"/>
  <c r="M49" i="1"/>
  <c r="N49" i="1"/>
  <c r="O49" i="1"/>
  <c r="H50" i="1"/>
  <c r="I50" i="1"/>
  <c r="J50" i="1"/>
  <c r="K50" i="1"/>
  <c r="L50" i="1"/>
  <c r="M50" i="1"/>
  <c r="N50" i="1"/>
  <c r="O50" i="1"/>
  <c r="H51" i="1"/>
  <c r="I51" i="1"/>
  <c r="J51" i="1"/>
  <c r="K51" i="1"/>
  <c r="L51" i="1"/>
  <c r="O51" i="1" s="1"/>
  <c r="M51" i="1"/>
  <c r="N51" i="1"/>
  <c r="H52" i="1"/>
  <c r="I52" i="1"/>
  <c r="J52" i="1"/>
  <c r="K52" i="1"/>
  <c r="L52" i="1"/>
  <c r="O52" i="1" s="1"/>
  <c r="M52" i="1"/>
  <c r="N52" i="1"/>
  <c r="H53" i="1"/>
  <c r="I53" i="1"/>
  <c r="J53" i="1"/>
  <c r="K53" i="1"/>
  <c r="L53" i="1"/>
  <c r="M53" i="1"/>
  <c r="N53" i="1"/>
  <c r="O53" i="1"/>
  <c r="H54" i="1"/>
  <c r="I54" i="1"/>
  <c r="J54" i="1"/>
  <c r="K54" i="1"/>
  <c r="L54" i="1"/>
  <c r="M54" i="1"/>
  <c r="N54" i="1"/>
  <c r="O54" i="1"/>
  <c r="H55" i="1"/>
  <c r="I55" i="1"/>
  <c r="J55" i="1"/>
  <c r="K55" i="1"/>
  <c r="L55" i="1"/>
  <c r="M55" i="1"/>
  <c r="N55" i="1"/>
  <c r="O55" i="1"/>
  <c r="H56" i="1"/>
  <c r="I56" i="1"/>
  <c r="J56" i="1"/>
  <c r="K56" i="1"/>
  <c r="L56" i="1"/>
  <c r="O56" i="1" s="1"/>
  <c r="M56" i="1"/>
  <c r="N56" i="1"/>
  <c r="H57" i="1"/>
  <c r="I57" i="1"/>
  <c r="J57" i="1"/>
  <c r="K57" i="1"/>
  <c r="L57" i="1"/>
  <c r="O57" i="1" s="1"/>
  <c r="M57" i="1"/>
  <c r="N57" i="1"/>
  <c r="H58" i="1"/>
  <c r="I58" i="1"/>
  <c r="J58" i="1"/>
  <c r="K58" i="1"/>
  <c r="L58" i="1"/>
  <c r="M58" i="1"/>
  <c r="N58" i="1"/>
  <c r="O58" i="1"/>
  <c r="H59" i="1"/>
  <c r="I59" i="1"/>
  <c r="J59" i="1"/>
  <c r="K59" i="1"/>
  <c r="L59" i="1"/>
  <c r="M59" i="1"/>
  <c r="N59" i="1"/>
  <c r="O59" i="1"/>
  <c r="H60" i="1"/>
  <c r="I60" i="1"/>
  <c r="J60" i="1"/>
  <c r="K60" i="1"/>
  <c r="L60" i="1"/>
  <c r="M60" i="1"/>
  <c r="N60" i="1"/>
  <c r="O60" i="1"/>
  <c r="H61" i="1"/>
  <c r="I61" i="1"/>
  <c r="J61" i="1"/>
  <c r="K61" i="1"/>
  <c r="L61" i="1"/>
  <c r="O61" i="1" s="1"/>
  <c r="M61" i="1"/>
  <c r="N61" i="1"/>
  <c r="H62" i="1"/>
  <c r="I62" i="1"/>
  <c r="J62" i="1"/>
  <c r="K62" i="1"/>
  <c r="L62" i="1"/>
  <c r="O62" i="1" s="1"/>
  <c r="M62" i="1"/>
  <c r="N62" i="1"/>
  <c r="H63" i="1"/>
  <c r="I63" i="1"/>
  <c r="J63" i="1"/>
  <c r="K63" i="1"/>
  <c r="L63" i="1"/>
  <c r="M63" i="1"/>
  <c r="N63" i="1"/>
  <c r="O63" i="1"/>
  <c r="H64" i="1"/>
  <c r="I64" i="1"/>
  <c r="J64" i="1"/>
  <c r="K64" i="1"/>
  <c r="L64" i="1"/>
  <c r="M64" i="1"/>
  <c r="N64" i="1"/>
  <c r="O64" i="1"/>
  <c r="H65" i="1"/>
  <c r="I65" i="1"/>
  <c r="J65" i="1"/>
  <c r="K65" i="1"/>
  <c r="L65" i="1"/>
  <c r="M65" i="1"/>
  <c r="N65" i="1"/>
  <c r="O65" i="1"/>
  <c r="H66" i="1"/>
  <c r="I66" i="1"/>
  <c r="J66" i="1"/>
  <c r="K66" i="1"/>
  <c r="L66" i="1"/>
  <c r="O66" i="1" s="1"/>
  <c r="M66" i="1"/>
  <c r="N66" i="1"/>
  <c r="H67" i="1"/>
  <c r="I67" i="1"/>
  <c r="J67" i="1"/>
  <c r="K67" i="1"/>
  <c r="L67" i="1"/>
  <c r="O67" i="1" s="1"/>
  <c r="M67" i="1"/>
  <c r="N67" i="1"/>
  <c r="H68" i="1"/>
  <c r="I68" i="1"/>
  <c r="J68" i="1"/>
  <c r="K68" i="1"/>
  <c r="L68" i="1"/>
  <c r="M68" i="1"/>
  <c r="N68" i="1"/>
  <c r="O68" i="1"/>
  <c r="H69" i="1"/>
  <c r="I69" i="1"/>
  <c r="J69" i="1"/>
  <c r="K69" i="1"/>
  <c r="L69" i="1"/>
  <c r="M69" i="1"/>
  <c r="N69" i="1"/>
  <c r="O69" i="1"/>
  <c r="H70" i="1"/>
  <c r="I70" i="1"/>
  <c r="J70" i="1"/>
  <c r="K70" i="1"/>
  <c r="L70" i="1"/>
  <c r="M70" i="1"/>
  <c r="N70" i="1"/>
  <c r="O70" i="1"/>
  <c r="H71" i="1"/>
  <c r="I71" i="1"/>
  <c r="J71" i="1"/>
  <c r="K71" i="1"/>
  <c r="L71" i="1"/>
  <c r="O71" i="1" s="1"/>
  <c r="M71" i="1"/>
  <c r="N71" i="1"/>
  <c r="H72" i="1"/>
  <c r="I72" i="1"/>
  <c r="J72" i="1"/>
  <c r="K72" i="1"/>
  <c r="L72" i="1"/>
  <c r="O72" i="1" s="1"/>
  <c r="M72" i="1"/>
  <c r="N72" i="1"/>
  <c r="H73" i="1"/>
  <c r="I73" i="1"/>
  <c r="J73" i="1"/>
  <c r="K73" i="1"/>
  <c r="L73" i="1"/>
  <c r="M73" i="1"/>
  <c r="N73" i="1"/>
  <c r="O73" i="1"/>
  <c r="H74" i="1"/>
  <c r="I74" i="1"/>
  <c r="J74" i="1"/>
  <c r="K74" i="1"/>
  <c r="L74" i="1"/>
  <c r="M74" i="1"/>
  <c r="N74" i="1"/>
  <c r="O74" i="1"/>
  <c r="H75" i="1"/>
  <c r="I75" i="1"/>
  <c r="J75" i="1"/>
  <c r="K75" i="1"/>
  <c r="L75" i="1"/>
  <c r="M75" i="1"/>
  <c r="N75" i="1"/>
  <c r="O75" i="1"/>
  <c r="H76" i="1"/>
  <c r="I76" i="1"/>
  <c r="J76" i="1"/>
  <c r="K76" i="1"/>
  <c r="L76" i="1"/>
  <c r="O76" i="1" s="1"/>
  <c r="M76" i="1"/>
  <c r="N76" i="1"/>
  <c r="H77" i="1"/>
  <c r="I77" i="1"/>
  <c r="J77" i="1"/>
  <c r="K77" i="1"/>
  <c r="L77" i="1"/>
  <c r="O77" i="1" s="1"/>
  <c r="M77" i="1"/>
  <c r="N77" i="1"/>
  <c r="H78" i="1"/>
  <c r="I78" i="1"/>
  <c r="J78" i="1"/>
  <c r="K78" i="1"/>
  <c r="L78" i="1"/>
  <c r="M78" i="1"/>
  <c r="N78" i="1"/>
  <c r="O78" i="1"/>
  <c r="H79" i="1"/>
  <c r="I79" i="1"/>
  <c r="J79" i="1"/>
  <c r="K79" i="1"/>
  <c r="L79" i="1"/>
  <c r="M79" i="1"/>
  <c r="N79" i="1"/>
  <c r="O79" i="1"/>
  <c r="H80" i="1"/>
  <c r="I80" i="1"/>
  <c r="J80" i="1"/>
  <c r="K80" i="1"/>
  <c r="L80" i="1"/>
  <c r="M80" i="1"/>
  <c r="N80" i="1"/>
  <c r="O80" i="1"/>
  <c r="H81" i="1"/>
  <c r="I81" i="1"/>
  <c r="J81" i="1"/>
  <c r="K81" i="1"/>
  <c r="L81" i="1"/>
  <c r="O81" i="1" s="1"/>
  <c r="M81" i="1"/>
  <c r="N81" i="1"/>
  <c r="H82" i="1"/>
  <c r="I82" i="1"/>
  <c r="J82" i="1"/>
  <c r="K82" i="1"/>
  <c r="L82" i="1"/>
  <c r="O82" i="1" s="1"/>
  <c r="M82" i="1"/>
  <c r="N82" i="1"/>
  <c r="H83" i="1"/>
  <c r="I83" i="1"/>
  <c r="J83" i="1"/>
  <c r="K83" i="1"/>
  <c r="L83" i="1"/>
  <c r="M83" i="1"/>
  <c r="N83" i="1"/>
  <c r="O83" i="1"/>
  <c r="H84" i="1"/>
  <c r="I84" i="1"/>
  <c r="J84" i="1"/>
  <c r="K84" i="1"/>
  <c r="L84" i="1"/>
  <c r="M84" i="1"/>
  <c r="N84" i="1"/>
  <c r="O84" i="1"/>
  <c r="H85" i="1"/>
  <c r="I85" i="1"/>
  <c r="J85" i="1"/>
  <c r="K85" i="1"/>
  <c r="L85" i="1"/>
  <c r="M85" i="1"/>
  <c r="N85" i="1"/>
  <c r="O85" i="1"/>
  <c r="H86" i="1"/>
  <c r="I86" i="1"/>
  <c r="J86" i="1"/>
  <c r="K86" i="1"/>
  <c r="L86" i="1"/>
  <c r="O86" i="1" s="1"/>
  <c r="M86" i="1"/>
  <c r="N86" i="1"/>
  <c r="H87" i="1"/>
  <c r="I87" i="1"/>
  <c r="J87" i="1"/>
  <c r="K87" i="1"/>
  <c r="L87" i="1"/>
  <c r="O87" i="1" s="1"/>
  <c r="M87" i="1"/>
  <c r="N87" i="1"/>
  <c r="H88" i="1"/>
  <c r="I88" i="1"/>
  <c r="J88" i="1"/>
  <c r="K88" i="1"/>
  <c r="L88" i="1"/>
  <c r="M88" i="1"/>
  <c r="N88" i="1"/>
  <c r="O88" i="1"/>
  <c r="H89" i="1"/>
  <c r="I89" i="1"/>
  <c r="J89" i="1"/>
  <c r="K89" i="1"/>
  <c r="L89" i="1"/>
  <c r="M89" i="1"/>
  <c r="N89" i="1"/>
  <c r="O89" i="1"/>
  <c r="H90" i="1"/>
  <c r="I90" i="1"/>
  <c r="J90" i="1"/>
  <c r="K90" i="1"/>
  <c r="L90" i="1"/>
  <c r="M90" i="1"/>
  <c r="N90" i="1"/>
  <c r="O90" i="1"/>
  <c r="H91" i="1"/>
  <c r="I91" i="1"/>
  <c r="J91" i="1"/>
  <c r="K91" i="1"/>
  <c r="L91" i="1"/>
  <c r="O91" i="1" s="1"/>
  <c r="M91" i="1"/>
  <c r="N91" i="1"/>
  <c r="H92" i="1"/>
  <c r="I92" i="1"/>
  <c r="J92" i="1"/>
  <c r="K92" i="1"/>
  <c r="L92" i="1"/>
  <c r="O92" i="1" s="1"/>
  <c r="M92" i="1"/>
  <c r="N92" i="1"/>
  <c r="H93" i="1"/>
  <c r="I93" i="1"/>
  <c r="J93" i="1"/>
  <c r="K93" i="1"/>
  <c r="L93" i="1"/>
  <c r="M93" i="1"/>
  <c r="N93" i="1"/>
  <c r="O93" i="1"/>
  <c r="H94" i="1"/>
  <c r="I94" i="1"/>
  <c r="J94" i="1"/>
  <c r="K94" i="1"/>
  <c r="L94" i="1"/>
  <c r="M94" i="1"/>
  <c r="N94" i="1"/>
  <c r="O94" i="1"/>
  <c r="H95" i="1"/>
  <c r="I95" i="1"/>
  <c r="J95" i="1"/>
  <c r="K95" i="1"/>
  <c r="L95" i="1"/>
  <c r="M95" i="1"/>
  <c r="N95" i="1"/>
  <c r="O95" i="1"/>
  <c r="H96" i="1"/>
  <c r="I96" i="1"/>
  <c r="J96" i="1"/>
  <c r="K96" i="1"/>
  <c r="L96" i="1"/>
  <c r="O96" i="1" s="1"/>
  <c r="M96" i="1"/>
  <c r="N96" i="1"/>
  <c r="H97" i="1"/>
  <c r="I97" i="1"/>
  <c r="J97" i="1"/>
  <c r="K97" i="1"/>
  <c r="L97" i="1"/>
  <c r="O97" i="1" s="1"/>
  <c r="M97" i="1"/>
  <c r="N97" i="1"/>
  <c r="H98" i="1"/>
  <c r="I98" i="1"/>
  <c r="J98" i="1"/>
  <c r="K98" i="1"/>
  <c r="L98" i="1"/>
  <c r="M98" i="1"/>
  <c r="N98" i="1"/>
  <c r="O98" i="1"/>
  <c r="H99" i="1"/>
  <c r="I99" i="1"/>
  <c r="J99" i="1"/>
  <c r="K99" i="1"/>
  <c r="L99" i="1"/>
  <c r="M99" i="1"/>
  <c r="N99" i="1"/>
  <c r="O99" i="1"/>
  <c r="H100" i="1"/>
  <c r="I100" i="1"/>
  <c r="J100" i="1"/>
  <c r="K100" i="1"/>
  <c r="L100" i="1"/>
  <c r="M100" i="1"/>
  <c r="N100" i="1"/>
  <c r="O100" i="1"/>
  <c r="H101" i="1"/>
  <c r="I101" i="1"/>
  <c r="J101" i="1"/>
  <c r="K101" i="1"/>
  <c r="L101" i="1"/>
  <c r="O101" i="1" s="1"/>
  <c r="M101" i="1"/>
  <c r="N101" i="1"/>
  <c r="H102" i="1"/>
  <c r="I102" i="1"/>
  <c r="J102" i="1"/>
  <c r="K102" i="1"/>
  <c r="L102" i="1"/>
  <c r="O102" i="1" s="1"/>
  <c r="M102" i="1"/>
  <c r="N102" i="1"/>
  <c r="H103" i="1"/>
  <c r="I103" i="1"/>
  <c r="J103" i="1"/>
  <c r="K103" i="1"/>
  <c r="L103" i="1"/>
  <c r="M103" i="1"/>
  <c r="N103" i="1"/>
  <c r="O103" i="1"/>
  <c r="H104" i="1"/>
  <c r="I104" i="1"/>
  <c r="J104" i="1"/>
  <c r="K104" i="1"/>
  <c r="L104" i="1"/>
  <c r="M104" i="1"/>
  <c r="N104" i="1"/>
  <c r="O104" i="1"/>
  <c r="H105" i="1"/>
  <c r="I105" i="1"/>
  <c r="J105" i="1"/>
  <c r="K105" i="1"/>
  <c r="L105" i="1"/>
  <c r="M105" i="1"/>
  <c r="N105" i="1"/>
  <c r="O105" i="1"/>
  <c r="H106" i="1"/>
  <c r="I106" i="1"/>
  <c r="J106" i="1"/>
  <c r="K106" i="1"/>
  <c r="L106" i="1"/>
  <c r="O106" i="1" s="1"/>
  <c r="M106" i="1"/>
  <c r="N106" i="1"/>
  <c r="H107" i="1"/>
  <c r="I107" i="1"/>
  <c r="J107" i="1"/>
  <c r="K107" i="1"/>
  <c r="L107" i="1"/>
  <c r="O107" i="1" s="1"/>
  <c r="M107" i="1"/>
  <c r="N107" i="1"/>
  <c r="H108" i="1"/>
  <c r="I108" i="1"/>
  <c r="J108" i="1"/>
  <c r="K108" i="1"/>
  <c r="L108" i="1"/>
  <c r="M108" i="1"/>
  <c r="N108" i="1"/>
  <c r="O108" i="1"/>
  <c r="H109" i="1"/>
  <c r="I109" i="1"/>
  <c r="J109" i="1"/>
  <c r="K109" i="1"/>
  <c r="L109" i="1"/>
  <c r="M109" i="1"/>
  <c r="N109" i="1"/>
  <c r="O109" i="1"/>
  <c r="H110" i="1"/>
  <c r="I110" i="1"/>
  <c r="J110" i="1"/>
  <c r="K110" i="1"/>
  <c r="L110" i="1"/>
  <c r="M110" i="1"/>
  <c r="N110" i="1"/>
  <c r="O110" i="1"/>
  <c r="H111" i="1"/>
  <c r="I111" i="1"/>
  <c r="J111" i="1"/>
  <c r="K111" i="1"/>
  <c r="L111" i="1"/>
  <c r="O111" i="1" s="1"/>
  <c r="M111" i="1"/>
  <c r="N111" i="1"/>
  <c r="H112" i="1"/>
  <c r="I112" i="1"/>
  <c r="J112" i="1"/>
  <c r="K112" i="1"/>
  <c r="L112" i="1"/>
  <c r="O112" i="1" s="1"/>
  <c r="M112" i="1"/>
  <c r="N112" i="1"/>
  <c r="H113" i="1"/>
  <c r="I113" i="1"/>
  <c r="J113" i="1"/>
  <c r="K113" i="1"/>
  <c r="L113" i="1"/>
  <c r="M113" i="1"/>
  <c r="N113" i="1"/>
  <c r="O113" i="1"/>
  <c r="H114" i="1"/>
  <c r="I114" i="1"/>
  <c r="J114" i="1"/>
  <c r="K114" i="1"/>
  <c r="L114" i="1"/>
  <c r="M114" i="1"/>
  <c r="N114" i="1"/>
  <c r="O114" i="1"/>
  <c r="H115" i="1"/>
  <c r="I115" i="1"/>
  <c r="J115" i="1"/>
  <c r="K115" i="1"/>
  <c r="L115" i="1"/>
  <c r="M115" i="1"/>
  <c r="N115" i="1"/>
  <c r="O115" i="1"/>
  <c r="H116" i="1"/>
  <c r="I116" i="1"/>
  <c r="J116" i="1"/>
  <c r="K116" i="1"/>
  <c r="L116" i="1"/>
  <c r="O116" i="1" s="1"/>
  <c r="M116" i="1"/>
  <c r="N116" i="1"/>
  <c r="H117" i="1"/>
  <c r="I117" i="1"/>
  <c r="J117" i="1"/>
  <c r="K117" i="1"/>
  <c r="L117" i="1"/>
  <c r="O117" i="1" s="1"/>
  <c r="M117" i="1"/>
  <c r="N117" i="1"/>
  <c r="H118" i="1"/>
  <c r="I118" i="1"/>
  <c r="J118" i="1"/>
  <c r="K118" i="1"/>
  <c r="L118" i="1"/>
  <c r="M118" i="1"/>
  <c r="N118" i="1"/>
  <c r="O118" i="1"/>
  <c r="H119" i="1"/>
  <c r="I119" i="1"/>
  <c r="J119" i="1"/>
  <c r="K119" i="1"/>
  <c r="L119" i="1"/>
  <c r="M119" i="1"/>
  <c r="N119" i="1"/>
  <c r="O119" i="1"/>
  <c r="H120" i="1"/>
  <c r="I120" i="1"/>
  <c r="J120" i="1"/>
  <c r="K120" i="1"/>
  <c r="L120" i="1"/>
  <c r="M120" i="1"/>
  <c r="N120" i="1"/>
  <c r="O120" i="1"/>
  <c r="H121" i="1"/>
  <c r="I121" i="1"/>
  <c r="J121" i="1"/>
  <c r="K121" i="1"/>
  <c r="L121" i="1"/>
  <c r="O121" i="1" s="1"/>
  <c r="M121" i="1"/>
  <c r="N121" i="1"/>
  <c r="H122" i="1"/>
  <c r="I122" i="1"/>
  <c r="J122" i="1"/>
  <c r="K122" i="1"/>
  <c r="L122" i="1"/>
  <c r="O122" i="1" s="1"/>
  <c r="M122" i="1"/>
  <c r="N122" i="1"/>
  <c r="H123" i="1"/>
  <c r="I123" i="1"/>
  <c r="J123" i="1"/>
  <c r="K123" i="1"/>
  <c r="L123" i="1"/>
  <c r="M123" i="1"/>
  <c r="N123" i="1"/>
  <c r="O123" i="1"/>
  <c r="H124" i="1"/>
  <c r="I124" i="1"/>
  <c r="J124" i="1"/>
  <c r="K124" i="1"/>
  <c r="L124" i="1"/>
  <c r="M124" i="1"/>
  <c r="N124" i="1"/>
  <c r="O124" i="1"/>
  <c r="H125" i="1"/>
  <c r="I125" i="1"/>
  <c r="J125" i="1"/>
  <c r="K125" i="1"/>
  <c r="L125" i="1"/>
  <c r="M125" i="1"/>
  <c r="N125" i="1"/>
  <c r="O125" i="1"/>
  <c r="H126" i="1"/>
  <c r="I126" i="1"/>
  <c r="J126" i="1"/>
  <c r="K126" i="1"/>
  <c r="L126" i="1"/>
  <c r="O126" i="1" s="1"/>
  <c r="M126" i="1"/>
  <c r="N126" i="1"/>
  <c r="H127" i="1"/>
  <c r="I127" i="1"/>
  <c r="J127" i="1"/>
  <c r="K127" i="1"/>
  <c r="L127" i="1"/>
  <c r="O127" i="1" s="1"/>
  <c r="M127" i="1"/>
  <c r="N127" i="1"/>
  <c r="H128" i="1"/>
  <c r="I128" i="1"/>
  <c r="J128" i="1"/>
  <c r="K128" i="1"/>
  <c r="L128" i="1"/>
  <c r="M128" i="1"/>
  <c r="N128" i="1"/>
  <c r="O128" i="1"/>
  <c r="H129" i="1"/>
  <c r="I129" i="1"/>
  <c r="J129" i="1"/>
  <c r="K129" i="1"/>
  <c r="L129" i="1"/>
  <c r="M129" i="1"/>
  <c r="N129" i="1"/>
  <c r="O129" i="1"/>
  <c r="H130" i="1"/>
  <c r="I130" i="1"/>
  <c r="J130" i="1"/>
  <c r="K130" i="1"/>
  <c r="L130" i="1"/>
  <c r="M130" i="1"/>
  <c r="N130" i="1"/>
  <c r="O130" i="1"/>
  <c r="H131" i="1"/>
  <c r="I131" i="1"/>
  <c r="J131" i="1"/>
  <c r="K131" i="1"/>
  <c r="L131" i="1"/>
  <c r="O131" i="1" s="1"/>
  <c r="M131" i="1"/>
  <c r="N131" i="1"/>
  <c r="H132" i="1"/>
  <c r="I132" i="1"/>
  <c r="J132" i="1"/>
  <c r="K132" i="1"/>
  <c r="L132" i="1"/>
  <c r="O132" i="1" s="1"/>
  <c r="M132" i="1"/>
  <c r="N132" i="1"/>
  <c r="H133" i="1"/>
  <c r="I133" i="1"/>
  <c r="J133" i="1"/>
  <c r="K133" i="1"/>
  <c r="L133" i="1"/>
  <c r="M133" i="1"/>
  <c r="N133" i="1"/>
  <c r="O133" i="1"/>
  <c r="H134" i="1"/>
  <c r="I134" i="1"/>
  <c r="J134" i="1"/>
  <c r="K134" i="1"/>
  <c r="L134" i="1"/>
  <c r="M134" i="1"/>
  <c r="N134" i="1"/>
  <c r="O134" i="1"/>
  <c r="H135" i="1"/>
  <c r="I135" i="1"/>
  <c r="J135" i="1"/>
  <c r="K135" i="1"/>
  <c r="L135" i="1"/>
  <c r="M135" i="1"/>
  <c r="N135" i="1"/>
  <c r="O135" i="1"/>
  <c r="H136" i="1"/>
  <c r="I136" i="1"/>
  <c r="J136" i="1"/>
  <c r="K136" i="1"/>
  <c r="L136" i="1"/>
  <c r="O136" i="1" s="1"/>
  <c r="M136" i="1"/>
  <c r="N136" i="1"/>
  <c r="H137" i="1"/>
  <c r="I137" i="1"/>
  <c r="J137" i="1"/>
  <c r="K137" i="1"/>
  <c r="L137" i="1"/>
  <c r="O137" i="1" s="1"/>
  <c r="M137" i="1"/>
  <c r="N137" i="1"/>
  <c r="H138" i="1"/>
  <c r="I138" i="1"/>
  <c r="J138" i="1"/>
  <c r="K138" i="1"/>
  <c r="L138" i="1"/>
  <c r="M138" i="1"/>
  <c r="N138" i="1"/>
  <c r="O138" i="1"/>
  <c r="H139" i="1"/>
  <c r="I139" i="1"/>
  <c r="J139" i="1"/>
  <c r="K139" i="1"/>
  <c r="L139" i="1"/>
  <c r="M139" i="1"/>
  <c r="N139" i="1"/>
  <c r="O139" i="1"/>
  <c r="H140" i="1"/>
  <c r="I140" i="1"/>
  <c r="J140" i="1"/>
  <c r="K140" i="1"/>
  <c r="L140" i="1"/>
  <c r="M140" i="1"/>
  <c r="N140" i="1"/>
  <c r="O140" i="1"/>
  <c r="H141" i="1"/>
  <c r="I141" i="1"/>
  <c r="J141" i="1"/>
  <c r="K141" i="1"/>
  <c r="L141" i="1"/>
  <c r="O141" i="1" s="1"/>
  <c r="M141" i="1"/>
  <c r="N141" i="1"/>
  <c r="H142" i="1"/>
  <c r="I142" i="1"/>
  <c r="J142" i="1"/>
  <c r="K142" i="1"/>
  <c r="L142" i="1"/>
  <c r="O142" i="1" s="1"/>
  <c r="M142" i="1"/>
  <c r="N142" i="1"/>
  <c r="H143" i="1"/>
  <c r="I143" i="1"/>
  <c r="J143" i="1"/>
  <c r="K143" i="1"/>
  <c r="L143" i="1"/>
  <c r="M143" i="1"/>
  <c r="N143" i="1"/>
  <c r="O143" i="1"/>
  <c r="H144" i="1"/>
  <c r="I144" i="1"/>
  <c r="J144" i="1"/>
  <c r="K144" i="1"/>
  <c r="L144" i="1"/>
  <c r="M144" i="1"/>
  <c r="N144" i="1"/>
  <c r="O144" i="1"/>
  <c r="H145" i="1"/>
  <c r="I145" i="1"/>
  <c r="J145" i="1"/>
  <c r="K145" i="1"/>
  <c r="L145" i="1"/>
  <c r="M145" i="1"/>
  <c r="N145" i="1"/>
  <c r="O145" i="1"/>
  <c r="H146" i="1"/>
  <c r="I146" i="1"/>
  <c r="J146" i="1"/>
  <c r="K146" i="1"/>
  <c r="L146" i="1"/>
  <c r="O146" i="1" s="1"/>
  <c r="M146" i="1"/>
  <c r="N146" i="1"/>
  <c r="H147" i="1"/>
  <c r="I147" i="1"/>
  <c r="J147" i="1"/>
  <c r="K147" i="1"/>
  <c r="L147" i="1"/>
  <c r="O147" i="1" s="1"/>
  <c r="M147" i="1"/>
  <c r="N147" i="1"/>
  <c r="H148" i="1"/>
  <c r="I148" i="1"/>
  <c r="J148" i="1"/>
  <c r="K148" i="1"/>
  <c r="L148" i="1"/>
  <c r="M148" i="1"/>
  <c r="N148" i="1"/>
  <c r="O148" i="1"/>
  <c r="H149" i="1"/>
  <c r="I149" i="1"/>
  <c r="J149" i="1"/>
  <c r="K149" i="1"/>
  <c r="L149" i="1"/>
  <c r="M149" i="1"/>
  <c r="N149" i="1"/>
  <c r="O149" i="1"/>
  <c r="H150" i="1"/>
  <c r="I150" i="1"/>
  <c r="J150" i="1"/>
  <c r="K150" i="1"/>
  <c r="L150" i="1"/>
  <c r="M150" i="1"/>
  <c r="N150" i="1"/>
  <c r="O150" i="1"/>
  <c r="H151" i="1"/>
  <c r="I151" i="1"/>
  <c r="J151" i="1"/>
  <c r="K151" i="1"/>
  <c r="L151" i="1"/>
  <c r="O151" i="1" s="1"/>
  <c r="M151" i="1"/>
  <c r="N151" i="1"/>
  <c r="H152" i="1"/>
  <c r="I152" i="1"/>
  <c r="J152" i="1"/>
  <c r="K152" i="1"/>
  <c r="L152" i="1"/>
  <c r="O152" i="1" s="1"/>
  <c r="M152" i="1"/>
  <c r="N152" i="1"/>
  <c r="H153" i="1"/>
  <c r="I153" i="1"/>
  <c r="J153" i="1"/>
  <c r="K153" i="1"/>
  <c r="L153" i="1"/>
  <c r="M153" i="1"/>
  <c r="N153" i="1"/>
  <c r="O153" i="1"/>
  <c r="H154" i="1"/>
  <c r="I154" i="1"/>
  <c r="J154" i="1"/>
  <c r="K154" i="1"/>
  <c r="L154" i="1"/>
  <c r="M154" i="1"/>
  <c r="N154" i="1"/>
  <c r="O154" i="1"/>
  <c r="H155" i="1"/>
  <c r="I155" i="1"/>
  <c r="J155" i="1"/>
  <c r="K155" i="1"/>
  <c r="L155" i="1"/>
  <c r="M155" i="1"/>
  <c r="N155" i="1"/>
  <c r="O155" i="1"/>
  <c r="H156" i="1"/>
  <c r="I156" i="1"/>
  <c r="J156" i="1"/>
  <c r="K156" i="1"/>
  <c r="L156" i="1"/>
  <c r="O156" i="1" s="1"/>
  <c r="M156" i="1"/>
  <c r="N156" i="1"/>
  <c r="H157" i="1"/>
  <c r="I157" i="1"/>
  <c r="J157" i="1"/>
  <c r="K157" i="1"/>
  <c r="L157" i="1"/>
  <c r="O157" i="1" s="1"/>
  <c r="M157" i="1"/>
  <c r="N157" i="1"/>
  <c r="H158" i="1"/>
  <c r="I158" i="1"/>
  <c r="J158" i="1"/>
  <c r="K158" i="1"/>
  <c r="L158" i="1"/>
  <c r="M158" i="1"/>
  <c r="N158" i="1"/>
  <c r="O158" i="1"/>
  <c r="H159" i="1"/>
  <c r="I159" i="1"/>
  <c r="J159" i="1"/>
  <c r="K159" i="1"/>
  <c r="L159" i="1"/>
  <c r="M159" i="1"/>
  <c r="N159" i="1"/>
  <c r="O159" i="1"/>
  <c r="H160" i="1"/>
  <c r="I160" i="1"/>
  <c r="J160" i="1"/>
  <c r="K160" i="1"/>
  <c r="L160" i="1"/>
  <c r="M160" i="1"/>
  <c r="N160" i="1"/>
  <c r="O160" i="1"/>
  <c r="H161" i="1"/>
  <c r="I161" i="1"/>
  <c r="J161" i="1"/>
  <c r="K161" i="1"/>
  <c r="L161" i="1"/>
  <c r="O161" i="1" s="1"/>
  <c r="M161" i="1"/>
  <c r="N161" i="1"/>
  <c r="H162" i="1"/>
  <c r="I162" i="1"/>
  <c r="J162" i="1"/>
  <c r="K162" i="1"/>
  <c r="L162" i="1"/>
  <c r="O162" i="1" s="1"/>
  <c r="M162" i="1"/>
  <c r="N162" i="1"/>
  <c r="H163" i="1"/>
  <c r="I163" i="1"/>
  <c r="J163" i="1"/>
  <c r="K163" i="1"/>
  <c r="L163" i="1"/>
  <c r="M163" i="1"/>
  <c r="N163" i="1"/>
  <c r="O163" i="1"/>
  <c r="H164" i="1"/>
  <c r="I164" i="1"/>
  <c r="J164" i="1"/>
  <c r="K164" i="1"/>
  <c r="L164" i="1"/>
  <c r="M164" i="1"/>
  <c r="N164" i="1"/>
  <c r="O164" i="1"/>
  <c r="H165" i="1"/>
  <c r="I165" i="1"/>
  <c r="J165" i="1"/>
  <c r="K165" i="1"/>
  <c r="L165" i="1"/>
  <c r="M165" i="1"/>
  <c r="N165" i="1"/>
  <c r="O165" i="1"/>
  <c r="H166" i="1"/>
  <c r="I166" i="1"/>
  <c r="J166" i="1"/>
  <c r="K166" i="1"/>
  <c r="L166" i="1"/>
  <c r="O166" i="1" s="1"/>
  <c r="M166" i="1"/>
  <c r="N166" i="1"/>
  <c r="H167" i="1"/>
  <c r="I167" i="1"/>
  <c r="J167" i="1"/>
  <c r="K167" i="1"/>
  <c r="L167" i="1"/>
  <c r="O167" i="1" s="1"/>
  <c r="M167" i="1"/>
  <c r="N167" i="1"/>
  <c r="H168" i="1"/>
  <c r="I168" i="1"/>
  <c r="J168" i="1"/>
  <c r="K168" i="1"/>
  <c r="L168" i="1"/>
  <c r="M168" i="1"/>
  <c r="N168" i="1"/>
  <c r="O168" i="1"/>
  <c r="H169" i="1"/>
  <c r="I169" i="1"/>
  <c r="J169" i="1"/>
  <c r="K169" i="1"/>
  <c r="L169" i="1"/>
  <c r="M169" i="1"/>
  <c r="N169" i="1"/>
  <c r="O169" i="1"/>
  <c r="H170" i="1"/>
  <c r="I170" i="1"/>
  <c r="J170" i="1"/>
  <c r="K170" i="1"/>
  <c r="L170" i="1"/>
  <c r="M170" i="1"/>
  <c r="N170" i="1"/>
  <c r="O170" i="1"/>
  <c r="H171" i="1"/>
  <c r="I171" i="1"/>
  <c r="J171" i="1"/>
  <c r="K171" i="1"/>
  <c r="L171" i="1"/>
  <c r="O171" i="1" s="1"/>
  <c r="M171" i="1"/>
  <c r="N171" i="1"/>
  <c r="H172" i="1"/>
  <c r="I172" i="1"/>
  <c r="J172" i="1"/>
  <c r="K172" i="1"/>
  <c r="L172" i="1"/>
  <c r="O172" i="1" s="1"/>
  <c r="M172" i="1"/>
  <c r="N172" i="1"/>
  <c r="H173" i="1"/>
  <c r="I173" i="1"/>
  <c r="J173" i="1"/>
  <c r="K173" i="1"/>
  <c r="L173" i="1"/>
  <c r="M173" i="1"/>
  <c r="N173" i="1"/>
  <c r="O173" i="1"/>
  <c r="H174" i="1"/>
  <c r="I174" i="1"/>
  <c r="J174" i="1"/>
  <c r="K174" i="1"/>
  <c r="L174" i="1"/>
  <c r="M174" i="1"/>
  <c r="N174" i="1"/>
  <c r="O174" i="1"/>
  <c r="H175" i="1"/>
  <c r="I175" i="1"/>
  <c r="J175" i="1"/>
  <c r="K175" i="1"/>
  <c r="L175" i="1"/>
  <c r="M175" i="1"/>
  <c r="N175" i="1"/>
  <c r="O175" i="1"/>
  <c r="H176" i="1"/>
  <c r="I176" i="1"/>
  <c r="J176" i="1"/>
  <c r="K176" i="1"/>
  <c r="L176" i="1"/>
  <c r="O176" i="1" s="1"/>
  <c r="M176" i="1"/>
  <c r="N176" i="1"/>
  <c r="H177" i="1"/>
  <c r="I177" i="1"/>
  <c r="J177" i="1"/>
  <c r="K177" i="1"/>
  <c r="L177" i="1"/>
  <c r="O177" i="1" s="1"/>
  <c r="M177" i="1"/>
  <c r="N177" i="1"/>
  <c r="H178" i="1"/>
  <c r="I178" i="1"/>
  <c r="J178" i="1"/>
  <c r="K178" i="1"/>
  <c r="L178" i="1"/>
  <c r="M178" i="1"/>
  <c r="N178" i="1"/>
  <c r="O178" i="1"/>
  <c r="H179" i="1"/>
  <c r="I179" i="1"/>
  <c r="J179" i="1"/>
  <c r="K179" i="1"/>
  <c r="L179" i="1"/>
  <c r="M179" i="1"/>
  <c r="N179" i="1"/>
  <c r="O179" i="1"/>
  <c r="H180" i="1"/>
  <c r="I180" i="1"/>
  <c r="J180" i="1"/>
  <c r="K180" i="1"/>
  <c r="L180" i="1"/>
  <c r="M180" i="1"/>
  <c r="N180" i="1"/>
  <c r="O180" i="1"/>
  <c r="H181" i="1"/>
  <c r="I181" i="1"/>
  <c r="J181" i="1"/>
  <c r="K181" i="1"/>
  <c r="L181" i="1"/>
  <c r="O181" i="1" s="1"/>
  <c r="M181" i="1"/>
  <c r="N181" i="1"/>
  <c r="H182" i="1"/>
  <c r="I182" i="1"/>
  <c r="J182" i="1"/>
  <c r="K182" i="1"/>
  <c r="L182" i="1"/>
  <c r="O182" i="1" s="1"/>
  <c r="M182" i="1"/>
  <c r="N182" i="1"/>
  <c r="H183" i="1"/>
  <c r="I183" i="1"/>
  <c r="J183" i="1"/>
  <c r="K183" i="1"/>
  <c r="L183" i="1"/>
  <c r="M183" i="1"/>
  <c r="N183" i="1"/>
  <c r="O183" i="1"/>
  <c r="H184" i="1"/>
  <c r="I184" i="1"/>
  <c r="J184" i="1"/>
  <c r="K184" i="1"/>
  <c r="L184" i="1"/>
  <c r="M184" i="1"/>
  <c r="N184" i="1"/>
  <c r="O184" i="1"/>
  <c r="H185" i="1"/>
  <c r="I185" i="1"/>
  <c r="J185" i="1"/>
  <c r="K185" i="1"/>
  <c r="L185" i="1"/>
  <c r="M185" i="1"/>
  <c r="N185" i="1"/>
  <c r="O185" i="1"/>
  <c r="H186" i="1"/>
  <c r="I186" i="1"/>
  <c r="J186" i="1"/>
  <c r="K186" i="1"/>
  <c r="L186" i="1"/>
  <c r="O186" i="1" s="1"/>
  <c r="M186" i="1"/>
  <c r="N186" i="1"/>
  <c r="H187" i="1"/>
  <c r="I187" i="1"/>
  <c r="J187" i="1"/>
  <c r="K187" i="1"/>
  <c r="L187" i="1"/>
  <c r="O187" i="1" s="1"/>
  <c r="M187" i="1"/>
  <c r="N187" i="1"/>
  <c r="H188" i="1"/>
  <c r="I188" i="1"/>
  <c r="J188" i="1"/>
  <c r="K188" i="1"/>
  <c r="L188" i="1"/>
  <c r="M188" i="1"/>
  <c r="N188" i="1"/>
  <c r="O188" i="1"/>
  <c r="H189" i="1"/>
  <c r="I189" i="1"/>
  <c r="J189" i="1"/>
  <c r="K189" i="1"/>
  <c r="L189" i="1"/>
  <c r="M189" i="1"/>
  <c r="N189" i="1"/>
  <c r="O189" i="1"/>
  <c r="H190" i="1"/>
  <c r="I190" i="1"/>
  <c r="J190" i="1"/>
  <c r="K190" i="1"/>
  <c r="L190" i="1"/>
  <c r="M190" i="1"/>
  <c r="N190" i="1"/>
  <c r="O190" i="1"/>
  <c r="H191" i="1"/>
  <c r="I191" i="1"/>
  <c r="J191" i="1"/>
  <c r="K191" i="1"/>
  <c r="L191" i="1"/>
  <c r="O191" i="1" s="1"/>
  <c r="M191" i="1"/>
  <c r="N191" i="1"/>
  <c r="H192" i="1"/>
  <c r="I192" i="1"/>
  <c r="J192" i="1"/>
  <c r="K192" i="1"/>
  <c r="L192" i="1"/>
  <c r="O192" i="1" s="1"/>
  <c r="M192" i="1"/>
  <c r="N192" i="1"/>
  <c r="H193" i="1"/>
  <c r="I193" i="1"/>
  <c r="J193" i="1"/>
  <c r="K193" i="1"/>
  <c r="L193" i="1"/>
  <c r="M193" i="1"/>
  <c r="N193" i="1"/>
  <c r="O193" i="1"/>
  <c r="H194" i="1"/>
  <c r="I194" i="1"/>
  <c r="J194" i="1"/>
  <c r="K194" i="1"/>
  <c r="L194" i="1"/>
  <c r="M194" i="1"/>
  <c r="N194" i="1"/>
  <c r="O194" i="1"/>
  <c r="H195" i="1"/>
  <c r="I195" i="1"/>
  <c r="J195" i="1"/>
  <c r="K195" i="1"/>
  <c r="L195" i="1"/>
  <c r="M195" i="1"/>
  <c r="N195" i="1"/>
  <c r="O195" i="1"/>
  <c r="H196" i="1"/>
  <c r="I196" i="1"/>
  <c r="J196" i="1"/>
  <c r="K196" i="1"/>
  <c r="L196" i="1"/>
  <c r="O196" i="1" s="1"/>
  <c r="M196" i="1"/>
  <c r="N196" i="1"/>
  <c r="H197" i="1"/>
  <c r="I197" i="1"/>
  <c r="J197" i="1"/>
  <c r="K197" i="1"/>
  <c r="L197" i="1"/>
  <c r="O197" i="1" s="1"/>
  <c r="M197" i="1"/>
  <c r="N197" i="1"/>
  <c r="H198" i="1"/>
  <c r="I198" i="1"/>
  <c r="J198" i="1"/>
  <c r="K198" i="1"/>
  <c r="L198" i="1"/>
  <c r="M198" i="1"/>
  <c r="N198" i="1"/>
  <c r="O198" i="1"/>
  <c r="H199" i="1"/>
  <c r="I199" i="1"/>
  <c r="J199" i="1"/>
  <c r="K199" i="1"/>
  <c r="L199" i="1"/>
  <c r="M199" i="1"/>
  <c r="N199" i="1"/>
  <c r="O199" i="1"/>
  <c r="H200" i="1"/>
  <c r="I200" i="1"/>
  <c r="J200" i="1"/>
  <c r="K200" i="1"/>
  <c r="L200" i="1"/>
  <c r="M200" i="1"/>
  <c r="N200" i="1"/>
  <c r="O200" i="1"/>
  <c r="H201" i="1"/>
  <c r="I201" i="1"/>
  <c r="J201" i="1"/>
  <c r="K201" i="1"/>
  <c r="L201" i="1"/>
  <c r="O201" i="1" s="1"/>
  <c r="M201" i="1"/>
  <c r="N201" i="1"/>
  <c r="H202" i="1"/>
  <c r="I202" i="1"/>
  <c r="J202" i="1"/>
  <c r="K202" i="1"/>
  <c r="L202" i="1"/>
  <c r="O202" i="1" s="1"/>
  <c r="M202" i="1"/>
  <c r="N202" i="1"/>
  <c r="H203" i="1"/>
  <c r="I203" i="1"/>
  <c r="J203" i="1"/>
  <c r="K203" i="1"/>
  <c r="L203" i="1"/>
  <c r="M203" i="1"/>
  <c r="N203" i="1"/>
  <c r="O203" i="1"/>
  <c r="H204" i="1"/>
  <c r="I204" i="1"/>
  <c r="J204" i="1"/>
  <c r="K204" i="1"/>
  <c r="L204" i="1"/>
  <c r="M204" i="1"/>
  <c r="N204" i="1"/>
  <c r="O204" i="1"/>
  <c r="H205" i="1"/>
  <c r="I205" i="1"/>
  <c r="J205" i="1"/>
  <c r="K205" i="1"/>
  <c r="L205" i="1"/>
  <c r="M205" i="1"/>
  <c r="N205" i="1"/>
  <c r="O205" i="1"/>
  <c r="H206" i="1"/>
  <c r="I206" i="1"/>
  <c r="J206" i="1"/>
  <c r="K206" i="1"/>
  <c r="L206" i="1"/>
  <c r="O206" i="1" s="1"/>
  <c r="M206" i="1"/>
  <c r="N206" i="1"/>
  <c r="H207" i="1"/>
  <c r="I207" i="1"/>
  <c r="J207" i="1"/>
  <c r="K207" i="1"/>
  <c r="L207" i="1"/>
  <c r="O207" i="1" s="1"/>
  <c r="M207" i="1"/>
  <c r="N207" i="1"/>
  <c r="H208" i="1"/>
  <c r="I208" i="1"/>
  <c r="J208" i="1"/>
  <c r="K208" i="1"/>
  <c r="L208" i="1"/>
  <c r="M208" i="1"/>
  <c r="N208" i="1"/>
  <c r="O208" i="1"/>
  <c r="H209" i="1"/>
  <c r="I209" i="1"/>
  <c r="J209" i="1"/>
  <c r="K209" i="1"/>
  <c r="L209" i="1"/>
  <c r="M209" i="1"/>
  <c r="N209" i="1"/>
  <c r="O209" i="1"/>
  <c r="H210" i="1"/>
  <c r="I210" i="1"/>
  <c r="J210" i="1"/>
  <c r="K210" i="1"/>
  <c r="L210" i="1"/>
  <c r="M210" i="1"/>
  <c r="N210" i="1"/>
  <c r="O210" i="1"/>
  <c r="H211" i="1"/>
  <c r="I211" i="1"/>
  <c r="J211" i="1"/>
  <c r="K211" i="1"/>
  <c r="L211" i="1"/>
  <c r="O211" i="1" s="1"/>
  <c r="M211" i="1"/>
  <c r="N211" i="1"/>
  <c r="H212" i="1"/>
  <c r="I212" i="1"/>
  <c r="J212" i="1"/>
  <c r="K212" i="1"/>
  <c r="L212" i="1"/>
  <c r="O212" i="1" s="1"/>
  <c r="M212" i="1"/>
  <c r="N212" i="1"/>
  <c r="H213" i="1"/>
  <c r="I213" i="1"/>
  <c r="J213" i="1"/>
  <c r="K213" i="1"/>
  <c r="L213" i="1"/>
  <c r="M213" i="1"/>
  <c r="N213" i="1"/>
  <c r="O213" i="1"/>
  <c r="H214" i="1"/>
  <c r="I214" i="1"/>
  <c r="J214" i="1"/>
  <c r="K214" i="1"/>
  <c r="L214" i="1"/>
  <c r="M214" i="1"/>
  <c r="N214" i="1"/>
  <c r="O214" i="1"/>
  <c r="H215" i="1"/>
  <c r="I215" i="1"/>
  <c r="J215" i="1"/>
  <c r="K215" i="1"/>
  <c r="L215" i="1"/>
  <c r="M215" i="1"/>
  <c r="N215" i="1"/>
  <c r="O215" i="1"/>
  <c r="H216" i="1"/>
  <c r="I216" i="1"/>
  <c r="J216" i="1"/>
  <c r="K216" i="1"/>
  <c r="L216" i="1"/>
  <c r="O216" i="1" s="1"/>
  <c r="M216" i="1"/>
  <c r="N216" i="1"/>
  <c r="H217" i="1"/>
  <c r="I217" i="1"/>
  <c r="J217" i="1"/>
  <c r="K217" i="1"/>
  <c r="L217" i="1"/>
  <c r="O217" i="1" s="1"/>
  <c r="M217" i="1"/>
  <c r="N217" i="1"/>
  <c r="H218" i="1"/>
  <c r="I218" i="1"/>
  <c r="J218" i="1"/>
  <c r="K218" i="1"/>
  <c r="L218" i="1"/>
  <c r="M218" i="1"/>
  <c r="N218" i="1"/>
  <c r="O218" i="1"/>
  <c r="H219" i="1"/>
  <c r="I219" i="1"/>
  <c r="J219" i="1"/>
  <c r="K219" i="1"/>
  <c r="L219" i="1"/>
  <c r="M219" i="1"/>
  <c r="N219" i="1"/>
  <c r="O219" i="1"/>
  <c r="H220" i="1"/>
  <c r="I220" i="1"/>
  <c r="J220" i="1"/>
  <c r="K220" i="1"/>
  <c r="L220" i="1"/>
  <c r="M220" i="1"/>
  <c r="N220" i="1"/>
  <c r="O220" i="1"/>
  <c r="H221" i="1"/>
  <c r="I221" i="1"/>
  <c r="J221" i="1"/>
  <c r="K221" i="1"/>
  <c r="L221" i="1"/>
  <c r="O221" i="1" s="1"/>
  <c r="M221" i="1"/>
  <c r="N221" i="1"/>
  <c r="H222" i="1"/>
  <c r="I222" i="1"/>
  <c r="J222" i="1"/>
  <c r="K222" i="1"/>
  <c r="L222" i="1"/>
  <c r="O222" i="1" s="1"/>
  <c r="M222" i="1"/>
  <c r="N222" i="1"/>
  <c r="H223" i="1"/>
  <c r="I223" i="1"/>
  <c r="J223" i="1"/>
  <c r="K223" i="1"/>
  <c r="L223" i="1"/>
  <c r="M223" i="1"/>
  <c r="N223" i="1"/>
  <c r="O223" i="1"/>
  <c r="H224" i="1"/>
  <c r="I224" i="1"/>
  <c r="J224" i="1"/>
  <c r="K224" i="1"/>
  <c r="L224" i="1"/>
  <c r="M224" i="1"/>
  <c r="N224" i="1"/>
  <c r="O224" i="1"/>
  <c r="H225" i="1"/>
  <c r="I225" i="1"/>
  <c r="J225" i="1"/>
  <c r="K225" i="1"/>
  <c r="L225" i="1"/>
  <c r="M225" i="1"/>
  <c r="N225" i="1"/>
  <c r="O225" i="1"/>
  <c r="H226" i="1"/>
  <c r="I226" i="1"/>
  <c r="J226" i="1"/>
  <c r="K226" i="1"/>
  <c r="L226" i="1"/>
  <c r="O226" i="1" s="1"/>
  <c r="M226" i="1"/>
  <c r="N226" i="1"/>
  <c r="H227" i="1"/>
  <c r="I227" i="1"/>
  <c r="J227" i="1"/>
  <c r="K227" i="1"/>
  <c r="L227" i="1"/>
  <c r="O227" i="1" s="1"/>
  <c r="M227" i="1"/>
  <c r="N227" i="1"/>
  <c r="H228" i="1"/>
  <c r="I228" i="1"/>
  <c r="J228" i="1"/>
  <c r="K228" i="1"/>
  <c r="L228" i="1"/>
  <c r="M228" i="1"/>
  <c r="N228" i="1"/>
  <c r="O228" i="1"/>
  <c r="H229" i="1"/>
  <c r="I229" i="1"/>
  <c r="J229" i="1"/>
  <c r="K229" i="1"/>
  <c r="L229" i="1"/>
  <c r="M229" i="1"/>
  <c r="N229" i="1"/>
  <c r="O229" i="1"/>
  <c r="H230" i="1"/>
  <c r="I230" i="1"/>
  <c r="J230" i="1"/>
  <c r="K230" i="1"/>
  <c r="L230" i="1"/>
  <c r="M230" i="1"/>
  <c r="N230" i="1"/>
  <c r="O230" i="1"/>
  <c r="H231" i="1"/>
  <c r="I231" i="1"/>
  <c r="J231" i="1"/>
  <c r="K231" i="1"/>
  <c r="L231" i="1"/>
  <c r="O231" i="1" s="1"/>
  <c r="M231" i="1"/>
  <c r="N231" i="1"/>
  <c r="H232" i="1"/>
  <c r="I232" i="1"/>
  <c r="J232" i="1"/>
  <c r="K232" i="1"/>
  <c r="L232" i="1"/>
  <c r="O232" i="1" s="1"/>
  <c r="M232" i="1"/>
  <c r="N232" i="1"/>
  <c r="H233" i="1"/>
  <c r="I233" i="1"/>
  <c r="J233" i="1"/>
  <c r="K233" i="1"/>
  <c r="L233" i="1"/>
  <c r="M233" i="1"/>
  <c r="N233" i="1"/>
  <c r="O233" i="1"/>
  <c r="H234" i="1"/>
  <c r="I234" i="1"/>
  <c r="J234" i="1"/>
  <c r="K234" i="1"/>
  <c r="L234" i="1"/>
  <c r="M234" i="1"/>
  <c r="N234" i="1"/>
  <c r="O234" i="1"/>
  <c r="H235" i="1"/>
  <c r="I235" i="1"/>
  <c r="J235" i="1"/>
  <c r="K235" i="1"/>
  <c r="L235" i="1"/>
  <c r="M235" i="1"/>
  <c r="N235" i="1"/>
  <c r="O235" i="1"/>
  <c r="H236" i="1"/>
  <c r="I236" i="1"/>
  <c r="J236" i="1"/>
  <c r="K236" i="1"/>
  <c r="L236" i="1"/>
  <c r="O236" i="1" s="1"/>
  <c r="M236" i="1"/>
  <c r="N236" i="1"/>
  <c r="H237" i="1"/>
  <c r="I237" i="1"/>
  <c r="J237" i="1"/>
  <c r="K237" i="1"/>
  <c r="L237" i="1"/>
  <c r="O237" i="1" s="1"/>
  <c r="M237" i="1"/>
  <c r="N237" i="1"/>
  <c r="H238" i="1"/>
  <c r="I238" i="1"/>
  <c r="J238" i="1"/>
  <c r="K238" i="1"/>
  <c r="L238" i="1"/>
  <c r="M238" i="1"/>
  <c r="N238" i="1"/>
  <c r="O238" i="1"/>
  <c r="H239" i="1"/>
  <c r="I239" i="1"/>
  <c r="J239" i="1"/>
  <c r="K239" i="1"/>
  <c r="L239" i="1"/>
  <c r="M239" i="1"/>
  <c r="N239" i="1"/>
  <c r="O239" i="1"/>
  <c r="H240" i="1"/>
  <c r="I240" i="1"/>
  <c r="J240" i="1"/>
  <c r="K240" i="1"/>
  <c r="L240" i="1"/>
  <c r="M240" i="1"/>
  <c r="N240" i="1"/>
  <c r="O240" i="1"/>
  <c r="H241" i="1"/>
  <c r="I241" i="1"/>
  <c r="J241" i="1"/>
  <c r="K241" i="1"/>
  <c r="L241" i="1"/>
  <c r="O241" i="1" s="1"/>
  <c r="M241" i="1"/>
  <c r="N241" i="1"/>
  <c r="H242" i="1"/>
  <c r="I242" i="1"/>
  <c r="J242" i="1"/>
  <c r="K242" i="1"/>
  <c r="L242" i="1"/>
  <c r="O242" i="1" s="1"/>
  <c r="M242" i="1"/>
  <c r="N242" i="1"/>
  <c r="H243" i="1"/>
  <c r="I243" i="1"/>
  <c r="J243" i="1"/>
  <c r="K243" i="1"/>
  <c r="L243" i="1"/>
  <c r="M243" i="1"/>
  <c r="N243" i="1"/>
  <c r="O243" i="1"/>
  <c r="H244" i="1"/>
  <c r="I244" i="1"/>
  <c r="J244" i="1"/>
  <c r="K244" i="1"/>
  <c r="L244" i="1"/>
  <c r="M244" i="1"/>
  <c r="N244" i="1"/>
  <c r="O244" i="1"/>
  <c r="H245" i="1"/>
  <c r="I245" i="1"/>
  <c r="J245" i="1"/>
  <c r="K245" i="1"/>
  <c r="L245" i="1"/>
  <c r="M245" i="1"/>
  <c r="N245" i="1"/>
  <c r="O245" i="1"/>
  <c r="H246" i="1"/>
  <c r="I246" i="1"/>
  <c r="J246" i="1"/>
  <c r="K246" i="1"/>
  <c r="L246" i="1"/>
  <c r="O246" i="1" s="1"/>
  <c r="M246" i="1"/>
  <c r="N246" i="1"/>
  <c r="H247" i="1"/>
  <c r="I247" i="1"/>
  <c r="J247" i="1"/>
  <c r="K247" i="1"/>
  <c r="L247" i="1"/>
  <c r="O247" i="1" s="1"/>
  <c r="M247" i="1"/>
  <c r="N247" i="1"/>
  <c r="H248" i="1"/>
  <c r="I248" i="1"/>
  <c r="J248" i="1"/>
  <c r="K248" i="1"/>
  <c r="L248" i="1"/>
  <c r="M248" i="1"/>
  <c r="N248" i="1"/>
  <c r="O248" i="1"/>
  <c r="H249" i="1"/>
  <c r="I249" i="1"/>
  <c r="J249" i="1"/>
  <c r="K249" i="1"/>
  <c r="L249" i="1"/>
  <c r="M249" i="1"/>
  <c r="N249" i="1"/>
  <c r="O249" i="1"/>
  <c r="H250" i="1"/>
  <c r="I250" i="1"/>
  <c r="J250" i="1"/>
  <c r="K250" i="1"/>
  <c r="L250" i="1"/>
  <c r="M250" i="1"/>
  <c r="N250" i="1"/>
  <c r="O250" i="1"/>
  <c r="H251" i="1"/>
  <c r="I251" i="1"/>
  <c r="J251" i="1"/>
  <c r="K251" i="1"/>
  <c r="L251" i="1"/>
  <c r="O251" i="1" s="1"/>
  <c r="M251" i="1"/>
  <c r="N251" i="1"/>
  <c r="H252" i="1"/>
  <c r="I252" i="1"/>
  <c r="J252" i="1"/>
  <c r="K252" i="1"/>
  <c r="L252" i="1"/>
  <c r="O252" i="1" s="1"/>
  <c r="M252" i="1"/>
  <c r="N252" i="1"/>
  <c r="H253" i="1"/>
  <c r="I253" i="1"/>
  <c r="J253" i="1"/>
  <c r="K253" i="1"/>
  <c r="L253" i="1"/>
  <c r="M253" i="1"/>
  <c r="N253" i="1"/>
  <c r="O253" i="1"/>
  <c r="H254" i="1"/>
  <c r="I254" i="1"/>
  <c r="J254" i="1"/>
  <c r="K254" i="1"/>
  <c r="L254" i="1"/>
  <c r="M254" i="1"/>
  <c r="N254" i="1"/>
  <c r="O254" i="1"/>
  <c r="H255" i="1"/>
  <c r="I255" i="1"/>
  <c r="J255" i="1"/>
  <c r="K255" i="1"/>
  <c r="L255" i="1"/>
  <c r="M255" i="1"/>
  <c r="N255" i="1"/>
  <c r="O255" i="1"/>
  <c r="H256" i="1"/>
  <c r="I256" i="1"/>
  <c r="J256" i="1"/>
  <c r="K256" i="1"/>
  <c r="L256" i="1"/>
  <c r="O256" i="1" s="1"/>
  <c r="M256" i="1"/>
  <c r="N256" i="1"/>
  <c r="H257" i="1"/>
  <c r="I257" i="1"/>
  <c r="J257" i="1"/>
  <c r="K257" i="1"/>
  <c r="L257" i="1"/>
  <c r="O257" i="1" s="1"/>
  <c r="M257" i="1"/>
  <c r="N257" i="1"/>
  <c r="H258" i="1"/>
  <c r="I258" i="1"/>
  <c r="J258" i="1"/>
  <c r="K258" i="1"/>
  <c r="L258" i="1"/>
  <c r="M258" i="1"/>
  <c r="N258" i="1"/>
  <c r="O258" i="1"/>
  <c r="H259" i="1"/>
  <c r="I259" i="1"/>
  <c r="J259" i="1"/>
  <c r="K259" i="1"/>
  <c r="L259" i="1"/>
  <c r="M259" i="1"/>
  <c r="N259" i="1"/>
  <c r="O259" i="1"/>
  <c r="H260" i="1"/>
  <c r="I260" i="1"/>
  <c r="J260" i="1"/>
  <c r="K260" i="1"/>
  <c r="L260" i="1"/>
  <c r="M260" i="1"/>
  <c r="N260" i="1"/>
  <c r="O260" i="1"/>
  <c r="H261" i="1"/>
  <c r="I261" i="1"/>
  <c r="J261" i="1"/>
  <c r="K261" i="1"/>
  <c r="L261" i="1"/>
  <c r="O261" i="1" s="1"/>
  <c r="M261" i="1"/>
  <c r="N261" i="1"/>
  <c r="H262" i="1"/>
  <c r="I262" i="1"/>
  <c r="J262" i="1"/>
  <c r="K262" i="1"/>
  <c r="L262" i="1"/>
  <c r="O262" i="1" s="1"/>
  <c r="M262" i="1"/>
  <c r="N262" i="1"/>
  <c r="H263" i="1"/>
  <c r="I263" i="1"/>
  <c r="J263" i="1"/>
  <c r="K263" i="1"/>
  <c r="L263" i="1"/>
  <c r="M263" i="1"/>
  <c r="N263" i="1"/>
  <c r="O263" i="1"/>
  <c r="H264" i="1"/>
  <c r="I264" i="1"/>
  <c r="J264" i="1"/>
  <c r="K264" i="1"/>
  <c r="L264" i="1"/>
  <c r="M264" i="1"/>
  <c r="N264" i="1"/>
  <c r="O264" i="1"/>
  <c r="H265" i="1"/>
  <c r="I265" i="1"/>
  <c r="J265" i="1"/>
  <c r="K265" i="1"/>
  <c r="L265" i="1"/>
  <c r="M265" i="1"/>
  <c r="N265" i="1"/>
  <c r="O265" i="1"/>
  <c r="H266" i="1"/>
  <c r="I266" i="1"/>
  <c r="J266" i="1"/>
  <c r="K266" i="1"/>
  <c r="L266" i="1"/>
  <c r="O266" i="1" s="1"/>
  <c r="M266" i="1"/>
  <c r="N266" i="1"/>
  <c r="H267" i="1"/>
  <c r="I267" i="1"/>
  <c r="J267" i="1"/>
  <c r="K267" i="1"/>
  <c r="L267" i="1"/>
  <c r="O267" i="1" s="1"/>
  <c r="M267" i="1"/>
  <c r="N267" i="1"/>
</calcChain>
</file>

<file path=xl/sharedStrings.xml><?xml version="1.0" encoding="utf-8"?>
<sst xmlns="http://schemas.openxmlformats.org/spreadsheetml/2006/main" count="2660" uniqueCount="2236">
  <si>
    <t>7520277306902037535</t>
  </si>
  <si>
    <r>
      <rPr>
        <u/>
        <sz val="12"/>
        <color rgb="FF1155CC"/>
        <rFont val="Calibri"/>
        <family val="2"/>
        <scheme val="minor"/>
      </rPr>
      <t>https://www.tiktok.com/@valentinaread01/video/7533737313793248526</t>
    </r>
  </si>
  <si>
    <t>Chief Keef &amp; Mustard</t>
  </si>
  <si>
    <t>Shake Dat</t>
  </si>
  <si>
    <t>https://p19-pu-sign-useast8.tiktokcdn-us.com/tos-useast5-p-0068-tx/okBN3egIEBDAjSgFT5BCyoNZoTMDRECHIRkLfR~tplv-tiktokx-origin.image?dr=9636&amp;x-expires=1757631600&amp;x-signature=EJIPLxeYdBePpnTyWLBYmjDDdzA%3D&amp;t=4d5b0474&amp;ps=13740610&amp;shp=81f88b70&amp;shcp=43f4a2f9&amp;idc=useast8</t>
  </si>
  <si>
    <t>10/10 love my new dress #skimsreview #skims #kimkardashian #fyp</t>
  </si>
  <si>
    <t>IG: @valereadxx 💙🤍</t>
  </si>
  <si>
    <t>https://www.tiktok.com/@valentinaread01</t>
  </si>
  <si>
    <t>Valentina💕</t>
  </si>
  <si>
    <t>valentinaread01</t>
  </si>
  <si>
    <t>6839075368785118213</t>
  </si>
  <si>
    <r>
      <rPr>
        <u/>
        <sz val="12"/>
        <color rgb="FF1155CC"/>
        <rFont val="Calibri"/>
        <family val="2"/>
        <scheme val="minor"/>
      </rPr>
      <t>https://www.tiktok.com/@ferbandaa12/video/7548141403096812808</t>
    </r>
  </si>
  <si>
    <t>Beyoncé’s world 🐝</t>
  </si>
  <si>
    <t>Girls need love too</t>
  </si>
  <si>
    <t>https://p16-common-sign-sg.tiktokcdn-us.com/tos-alisg-p-0037/okAAxUYAAiIqDJoAoaBlYlvi3EzMABQPBipE3~tplv-tiktokx-origin.image?dr=9636&amp;x-expires=1757631600&amp;x-signature=KWPDzi1mKHFX11jEX5Ukh9Z3Hi0%3D&amp;t=4d5b0474&amp;ps=13740610&amp;shp=81f88b70&amp;shcp=43f4a2f9&amp;idc=useast8</t>
  </si>
  <si>
    <t>@SKIMS haul + Try on + fall outfits 🍂✨☁️ #skimshaul #skimsreview #tryon #fallfashion #outfitideas</t>
  </si>
  <si>
    <t>ig: fer__banda</t>
  </si>
  <si>
    <t>https://www.tiktok.com/@ferbandaa12</t>
  </si>
  <si>
    <t>Fer Banda</t>
  </si>
  <si>
    <t>ferbandaa12</t>
  </si>
  <si>
    <t>7039121847671964719</t>
  </si>
  <si>
    <r>
      <rPr>
        <u/>
        <sz val="12"/>
        <color rgb="FF1155CC"/>
        <rFont val="Calibri"/>
        <family val="2"/>
        <scheme val="minor"/>
      </rPr>
      <t>https://www.tiktok.com/@samijohnsonvlogs/video/7301711642419645739</t>
    </r>
  </si>
  <si>
    <t>🦋Sami Johnson🦋</t>
  </si>
  <si>
    <t>original sound</t>
  </si>
  <si>
    <t>https://p16-sign.tiktokcdn-us.com/tos-useast5-p-0068-tx/oAKGZAeWkqIBC5jlIHAOEeLI08WfjKUCGjHbCx~tplv-tiktokx-origin.image?dr=9636&amp;x-expires=1757631600&amp;x-signature=GQYVsqFE%2BQBPAzRZqRAKOcLNAE0%3D&amp;t=4d5b0474&amp;ps=13740610&amp;shp=81f88b70&amp;shcp=43f4a2f9&amp;idc=useast8</t>
  </si>
  <si>
    <t>#skims #nipplebra #skimsbodysuit</t>
  </si>
  <si>
    <t>🍑GA🍑 YouTube @samijohnson___ ⬇️</t>
  </si>
  <si>
    <t>https://www.tiktok.com/@samijohnsonvlogs</t>
  </si>
  <si>
    <t>samijohnsonvlogs</t>
  </si>
  <si>
    <t>6977430121133327366</t>
  </si>
  <si>
    <r>
      <rPr>
        <u/>
        <sz val="12"/>
        <color rgb="FF1155CC"/>
        <rFont val="Calibri"/>
        <family val="2"/>
        <scheme val="minor"/>
      </rPr>
      <t>https://www.tiktok.com/@katy3ey/video/7528874856771751190</t>
    </r>
  </si>
  <si>
    <t>Katy3ey</t>
  </si>
  <si>
    <t>https://p16-pu-sign-no.tiktokcdn-eu.com/tos-no1a-p-0037-no/o0LE8a9IPv2HiAhitBB3vBYvDCZF7R7LERFNI~tplv-tiktokx-origin.image?dr=10395&amp;x-expires=1757631600&amp;x-signature=tVw2%2B8mWOjhaku96RgDVWVhHJP0%3D&amp;t=4d5b0474&amp;ps=13740610&amp;shp=81f88b70&amp;shcp=43f4a2f9&amp;idc=no1a</t>
  </si>
  <si>
    <t>#CapCut wow @SKIMS ate with their changing rooms! #skims</t>
  </si>
  <si>
    <t>Instagram katy3ey katy@migosmedia.com for collabs</t>
  </si>
  <si>
    <t>https://www.tiktok.com/@katy3ey</t>
  </si>
  <si>
    <t>katy3ey</t>
  </si>
  <si>
    <t>6915086369216480257</t>
  </si>
  <si>
    <r>
      <rPr>
        <u/>
        <sz val="12"/>
        <color rgb="FF1155CC"/>
        <rFont val="Calibri"/>
        <family val="2"/>
        <scheme val="minor"/>
      </rPr>
      <t>https://www.tiktok.com/@kardashdayss/video/7539568562755603734</t>
    </r>
  </si>
  <si>
    <t>kardashdays</t>
  </si>
  <si>
    <t>https://p16-pu-sign-no.tiktokcdn-eu.com/tos-no1a-p-0037-no/owhAorAYiBtCHqzKBYyvah7iEAYBaCvCPpIAE~tplv-tiktokx-origin.image?dr=10395&amp;x-expires=1757631600&amp;x-signature=cryN7we7Yz01kwV%2BgXNXTjm7QWU%3D&amp;t=4d5b0474&amp;ps=13740610&amp;shp=81f88b70&amp;shcp=43f4a2f9&amp;idc=no1a</t>
  </si>
  <si>
    <t>so unserious 😭 #kimkardashian #skims #kuwtk #fyp #viral @karjenner fanpage ⭐️ IM A FAN @kardashians and jenners @Kardashian &amp; Jenner</t>
  </si>
  <si>
    <t>not impersonating FANPAGE</t>
  </si>
  <si>
    <t>https://www.tiktok.com/@kardashdayss</t>
  </si>
  <si>
    <t>kardashdayss</t>
  </si>
  <si>
    <t>6729888722937414661</t>
  </si>
  <si>
    <r>
      <rPr>
        <u/>
        <sz val="12"/>
        <color rgb="FF1155CC"/>
        <rFont val="Calibri"/>
        <family val="2"/>
        <scheme val="minor"/>
      </rPr>
      <t>https://www.tiktok.com/@isabellamuhairez/video/7475487748971924759</t>
    </r>
  </si>
  <si>
    <t>Scythermane &amp; NXGHT! &amp; MC Fabinho da Osk</t>
  </si>
  <si>
    <t>NUNCA MUDA?</t>
  </si>
  <si>
    <t>https://p16-pu-sign-no.tiktokcdn-eu.com/tos-no1a-p-0037-no/oMfRIESaoxFuFAietkCWQq1RgAFIFnAkvoDkAE~tplv-tiktokx-origin.image?dr=10395&amp;x-expires=1757631600&amp;x-signature=i1%2FQkxom%2FKoDuB14U0vzJKWhW%2BY%3D&amp;t=4d5b0474&amp;ps=13740610&amp;shp=81f88b70&amp;shcp=43f4a2f9&amp;idc=no1a</t>
  </si>
  <si>
    <t>Love a skims dress☺️ #gymtok #gymgirls #gym #fitness #dress #skims</t>
  </si>
  <si>
    <t>https://www.tiktok.com/@isabellamuhairez</t>
  </si>
  <si>
    <t>iz</t>
  </si>
  <si>
    <t>isabellamuhairez</t>
  </si>
  <si>
    <r>
      <rPr>
        <u/>
        <sz val="12"/>
        <color rgb="FF1155CC"/>
        <rFont val="Calibri"/>
        <family val="2"/>
        <scheme val="minor"/>
      </rPr>
      <t>https://www.tiktok.com/@sadieemckennaa/video/7341218489136467206</t>
    </r>
  </si>
  <si>
    <t>𝐩𝐡𝐫𝐞𝐥𝐥.</t>
  </si>
  <si>
    <t>https://p16-sign-va.tiktokcdn.com/tos-maliva-p-0068/cf05d98589cb436a82ec3622b4dcddcc_1709260632~tplv-tiktokx-origin.image?dr=10395&amp;x-expires=1757631600&amp;x-signature=BOjj%2BlCZwhSH15FRQzNsPLS0mu0%3D&amp;t=4d5b0474&amp;ps=13740610&amp;shp=81f88b70&amp;shcp=43f4a2f9&amp;idc=no1a</t>
  </si>
  <si>
    <t>ily skims</t>
  </si>
  <si>
    <t>♰ big deal to the unemployed sadie@moxymgt.com</t>
  </si>
  <si>
    <t>https://www.tiktok.com/@sadieemckennaa</t>
  </si>
  <si>
    <t>sadie mckenna</t>
  </si>
  <si>
    <t>sadieemckennaa</t>
  </si>
  <si>
    <t>7080802368794985518</t>
  </si>
  <si>
    <r>
      <rPr>
        <u/>
        <sz val="12"/>
        <color rgb="FF1155CC"/>
        <rFont val="Calibri"/>
        <family val="2"/>
        <scheme val="minor"/>
      </rPr>
      <t>https://www.tiktok.com/@ashleytalbottt/video/7517139524019965197</t>
    </r>
  </si>
  <si>
    <t>𝘼𝙧𝙞𝙤𝙢𝙚𝙢🇪🇨</t>
  </si>
  <si>
    <t>sonido original - 💚 A.V.Sylphie 💚</t>
  </si>
  <si>
    <t>https://p16-sign.tiktokcdn-us.com/tos-useast5-p-0068-tx/oUFgkgffAAtbHXg9jLeHHQGClZpksIIFUANpSI~tplv-tiktokx-origin.image?dr=10395&amp;x-expires=1757631600&amp;x-signature=XEvqPEVnlk3Yx7A9QERsJpElml8%3D&amp;t=4d5b0474&amp;ps=13740610&amp;shp=81f88b70&amp;shcp=43f4a2f9&amp;idc=no1a</t>
  </si>
  <si>
    <t>@SKIMS I want a model for skims so bad #bodytea #skims #skimsreview #foryou #tiktokpromote #fypシ</t>
  </si>
  <si>
    <t>ꜰᴀꜱʜɪᴏɴ♡ᴍᴀᴋᴇᴜᴘ♡ᴛʀᴀᴠᴇʟ♡ᴍᴏᴅᴇʟ ꜱꜰ✧ʟᴀ ᴀꜱʜʟᴇʏɪᴛᴀʟʙᴏᴛᴛ@ɢᴍᴀɪʟ.ᴄᴏᴍ ᴄᴇʀᴛɪꜰɪᴇᴅ ɪɴꜰʟᴜᴇɴᴄᴇʀ</t>
  </si>
  <si>
    <t>https://www.tiktok.com/@ashleytalbottt</t>
  </si>
  <si>
    <t>ashleytalbott🇭🇳🇵🇸</t>
  </si>
  <si>
    <t>ashleytalbottt</t>
  </si>
  <si>
    <t>7177491262155572270</t>
  </si>
  <si>
    <r>
      <rPr>
        <u/>
        <sz val="12"/>
        <color rgb="FF1155CC"/>
        <rFont val="Calibri"/>
        <family val="2"/>
        <scheme val="minor"/>
      </rPr>
      <t>https://www.tiktok.com/@rickaya/video/7517828513475333407</t>
    </r>
  </si>
  <si>
    <t>Pana</t>
  </si>
  <si>
    <t>https://p16-pu-sign-useast8.tiktokcdn-us.com/tos-useast8-p-0068-tx2/owGoTZf75AAwCR9BAIiYVsVBCfbACUKiEEB1UI~tplv-tiktokx-origin.image?dr=10395&amp;x-expires=1757631600&amp;x-signature=z76QQPTnGY0egb5qUEiTqPQLUl0%3D&amp;t=4d5b0474&amp;ps=13740610&amp;shp=81f88b70&amp;shcp=43f4a2f9&amp;idc=no1a</t>
  </si>
  <si>
    <t>Casual outfit for the day | @SKIMS foldover loungewear set | Barely Pink 🩷. I am obsessed</t>
  </si>
  <si>
    <t>Princess Diaries ᥫ᭡. Lifestyle - MIAMI 🦩- Fashion 💌: The.Rickaya@gmail.com</t>
  </si>
  <si>
    <t>https://www.tiktok.com/@rickaya</t>
  </si>
  <si>
    <t>Pretty Ricky ✮</t>
  </si>
  <si>
    <t>rickaya</t>
  </si>
  <si>
    <t>55616923849228289</t>
  </si>
  <si>
    <r>
      <rPr>
        <u/>
        <sz val="12"/>
        <color rgb="FF1155CC"/>
        <rFont val="Calibri"/>
        <family val="2"/>
        <scheme val="minor"/>
      </rPr>
      <t>https://www.tiktok.com/@brookeeamanda/video/7486304805795826990</t>
    </r>
  </si>
  <si>
    <t>Madonna</t>
  </si>
  <si>
    <t>Vogue (Edit)</t>
  </si>
  <si>
    <t>https://p16-sign.tiktokcdn-us.com/tos-useast5-p-0068-tx/owD9krfHBpjLnFjE421BAdSfE5IDsELgRwH3Ji~tplv-tiktokx-origin.image?dr=10395&amp;x-expires=1757631600&amp;x-signature=%2FrUA%2BKAK1eUv5tnOTUEDGYJyb0Q%3D&amp;t=4d5b0474&amp;ps=13740610&amp;shp=81f88b70&amp;shcp=43f4a2f9&amp;idc=no1a</t>
  </si>
  <si>
    <t>@SKIMS in Los Angeles!! #LA #losangeles #skims #westhollywood #sunsetblvd</t>
  </si>
  <si>
    <r>
      <rPr>
        <u/>
        <sz val="12"/>
        <color rgb="FF1155CC"/>
        <rFont val="Calibri"/>
        <family val="2"/>
        <scheme val="minor"/>
      </rPr>
      <t>https://linktr.ee/brookeamandaa</t>
    </r>
  </si>
  <si>
    <t>https://www.tiktok.com/@brookeeamanda</t>
  </si>
  <si>
    <t>Brooke</t>
  </si>
  <si>
    <t>brookeeamanda</t>
  </si>
  <si>
    <t>7147477690236044331</t>
  </si>
  <si>
    <r>
      <rPr>
        <u/>
        <sz val="12"/>
        <color rgb="FF1155CC"/>
        <rFont val="Calibri"/>
        <family val="2"/>
        <scheme val="minor"/>
      </rPr>
      <t>https://www.tiktok.com/@kvtondomingvez/video/7439797250831945006</t>
    </r>
  </si>
  <si>
    <t>lottie⸆⸉</t>
  </si>
  <si>
    <t>thats so true bridge</t>
  </si>
  <si>
    <t>https://p19-sign.tiktokcdn-us.com/tos-useast5-p-0068-tx/6f9db9d350074afabaa498f2f320690c_1738559414~tplv-tiktokx-origin.image?dr=10395&amp;x-expires=1757631600&amp;x-signature=C3soUgQGGkGBseRlG7dIMRPFus8%3D&amp;t=4d5b0474&amp;ps=13740610&amp;shp=81f88b70&amp;shcp=43f4a2f9&amp;idc=no1a</t>
  </si>
  <si>
    <t>#skims #skimsdress #skimsset#pointelle</t>
  </si>
  <si>
    <t>leo 🧿🪬♌️ BSN Student ⚕️🩺🏥🩻 CA ☀️</t>
  </si>
  <si>
    <t>https://www.tiktok.com/@kvtondomingvez</t>
  </si>
  <si>
    <t>Katon🧿🦋</t>
  </si>
  <si>
    <t>kvtondomingvez</t>
  </si>
  <si>
    <t>6978892979494978565</t>
  </si>
  <si>
    <r>
      <rPr>
        <u/>
        <sz val="12"/>
        <color rgb="FF1155CC"/>
        <rFont val="Calibri"/>
        <family val="2"/>
        <scheme val="minor"/>
      </rPr>
      <t>https://www.tiktok.com/@chasiemay/video/7241767253966916906</t>
    </r>
  </si>
  <si>
    <t>sped up audios</t>
  </si>
  <si>
    <t>https://p16-sign.tiktokcdn-us.com/tos-useast5-p-0068-tx/40c13edb81924beb8cbf847c515df025_1686105343~tplv-tiktokx-origin.image?dr=10395&amp;x-expires=1757631600&amp;x-signature=HKBxMIyZGwct1mzIRIekFWyRc%2BU%3D&amp;t=4d5b0474&amp;ps=13740610&amp;shp=81f88b70&amp;shcp=43f4a2f9&amp;idc=no1a</t>
  </si>
  <si>
    <t>did y’all shop the skims bi-annual sale?! 🤍 #skims #skimshaul #cottonribtank #aestheticvideos #haultok #unboxing</t>
  </si>
  <si>
    <t>24 | az ☕️☁️🧸 ✉️chasieslife@gmail.com</t>
  </si>
  <si>
    <t>https://www.tiktok.com/@chasiemay</t>
  </si>
  <si>
    <t>chase</t>
  </si>
  <si>
    <t>chasiemay</t>
  </si>
  <si>
    <t>7515278420256212010</t>
  </si>
  <si>
    <r>
      <rPr>
        <u/>
        <sz val="12"/>
        <color rgb="FF1155CC"/>
        <rFont val="Calibri"/>
        <family val="2"/>
        <scheme val="minor"/>
      </rPr>
      <t>https://www.tiktok.com/@stone.mink/video/7530730245289168159</t>
    </r>
  </si>
  <si>
    <t>Sticky Fingers</t>
  </si>
  <si>
    <t>Bootleg Rascal</t>
  </si>
  <si>
    <t>https://p16-pu-sign-useast8.tiktokcdn-us.com/tos-useast8-p-0068-tx2/ocmAaDYQQeFoEv0fEA9CzVo1hKRRgAM9EQrBDg~tplv-tiktokx-origin.image?dr=10395&amp;x-expires=1757631600&amp;x-signature=8GiEOZSW%2BL2CgBVpvkzUpvxK%2BzE%3D&amp;t=4d5b0474&amp;ps=13740610&amp;shp=81f88b70&amp;shcp=43f4a2f9&amp;idc=no1a</t>
  </si>
  <si>
    <t>#skimboarding #skim #skimming #surf #fyp</t>
  </si>
  <si>
    <t>FL Sponsored by Another Ride Surf Shop 👻stoneunbanned</t>
  </si>
  <si>
    <t>https://www.tiktok.com/@stone.mink</t>
  </si>
  <si>
    <t>Stone Mink</t>
  </si>
  <si>
    <t>stone.mink</t>
  </si>
  <si>
    <t>6744709022915625989</t>
  </si>
  <si>
    <r>
      <rPr>
        <u/>
        <sz val="12"/>
        <color rgb="FF1155CC"/>
        <rFont val="Calibri"/>
        <family val="2"/>
        <scheme val="minor"/>
      </rPr>
      <t>https://www.tiktok.com/@chlolenahan/video/7538562409569537302</t>
    </r>
  </si>
  <si>
    <t>THIS MF SLIMEY</t>
  </si>
  <si>
    <t>https://p16-pu-sign-no.tiktokcdn-eu.com/tos-no1a-p-0037-no/oAAvvVSfRoEjEkFpCSDeuqFlAp0ngA8IYUWAQE~tplv-tiktokx-dmt-logom:tos-no1a-i-0068-no/ogvqIAeIjI5ePUEMWAALTQAPIAkREfGkdppLLF.image?dr=10393&amp;x-expires=1757631600&amp;x-signature=RkkGqkir%2Bk6I5AGIOJVfJnxY%2B1A%3D&amp;t=4d5b0474&amp;ps=13740610&amp;shp=81f88b70&amp;shcp=43f4a2f9&amp;idc=no1a</t>
  </si>
  <si>
    <t>Brb just buying every colour💕🐽💄#pink #bodysuit #skims</t>
  </si>
  <si>
    <t>Love my little life🫧☁️ Instagram-chloelenahan ✉️chloelenahan1@outlook.com</t>
  </si>
  <si>
    <t>https://www.tiktok.com/@chlolenahan</t>
  </si>
  <si>
    <t>Chloe🎀🫶🏻☁️</t>
  </si>
  <si>
    <t>chlolenahan</t>
  </si>
  <si>
    <t>6704778892123227141</t>
  </si>
  <si>
    <r>
      <rPr>
        <u/>
        <sz val="12"/>
        <color rgb="FF1155CC"/>
        <rFont val="Calibri"/>
        <family val="2"/>
        <scheme val="minor"/>
      </rPr>
      <t>https://www.tiktok.com/@khushipatelj/video/7540811196862172447</t>
    </r>
  </si>
  <si>
    <t>no/vox &amp; karaokey</t>
  </si>
  <si>
    <t>Timeless (instrumental)</t>
  </si>
  <si>
    <t>https://p16-pu-sign-useast8.tiktokcdn-us.com/tos-useast8-p-0068-tx2/okrLfJAYIIyfWRAQVriRMGeJmQwtU9AeAAnLFG~tplv-tiktokx-origin.image?dr=10395&amp;x-expires=1757631600&amp;x-signature=17Ip%2BFleRHCluXQuV5fTbamSnDk%3D&amp;t=4d5b0474&amp;ps=13740610&amp;shp=81f88b70&amp;shcp=43f4a2f9&amp;idc=no1a</t>
  </si>
  <si>
    <t>the color looks a good bit darker than how it’s showing on camera! IT LOOKS SO GOOD with my skin color tho! #skims #skimsreview #skimsfoldoverpants #skimset #wine</t>
  </si>
  <si>
    <t>just romanticizing life &lt;3 estate sales | thrift hauls | everything</t>
  </si>
  <si>
    <t>https://www.tiktok.com/@khushipatelj</t>
  </si>
  <si>
    <t>khushi:)</t>
  </si>
  <si>
    <t>khushipatelj</t>
  </si>
  <si>
    <t>7088122789414683694</t>
  </si>
  <si>
    <r>
      <rPr>
        <u/>
        <sz val="12"/>
        <color rgb="FF1155CC"/>
        <rFont val="Calibri"/>
        <family val="2"/>
        <scheme val="minor"/>
      </rPr>
      <t>https://www.tiktok.com/@leahcedeno/video/7463291828192759086</t>
    </r>
  </si>
  <si>
    <t>Leah Cedeño</t>
  </si>
  <si>
    <t>https://p16-sign-va.tiktokcdn.com/tos-maliva-i-e1os8tt47a-us/055fb21dc14e40a28a15e1d9f7f055e2~tplv-tiktokx-origin.image?dr=10395&amp;x-expires=1757631600&amp;x-signature=AM5HwV1HPnrhf5mY0ULiztNCuuw%3D&amp;t=4d5b0474&amp;ps=13740610&amp;shp=81f88b70&amp;shcp=43f4a2f9&amp;idc=no1a</t>
  </si>
  <si>
    <t>trying on the @SKIMS valentine’s day collection!! was so excited to see so much pink and i love the heart cutouts 🩷 #skimsreview #skimsvalentinecollection #skimstryon</t>
  </si>
  <si>
    <t>🩷 alt gym girl 🖤 IG: @leahlcedeno 💌tiktok@leahcedeno.com links 2 my stuff 👇</t>
  </si>
  <si>
    <t>https://www.tiktok.com/@leahcedeno</t>
  </si>
  <si>
    <t>leahcedeno</t>
  </si>
  <si>
    <t>6620848479500369926</t>
  </si>
  <si>
    <r>
      <rPr>
        <u/>
        <sz val="12"/>
        <color rgb="FF1155CC"/>
        <rFont val="Calibri"/>
        <family val="2"/>
        <scheme val="minor"/>
      </rPr>
      <t>https://www.tiktok.com/@th1s1saj0k3/video/7465173600966954282</t>
    </r>
  </si>
  <si>
    <t>grava</t>
  </si>
  <si>
    <t>Drake x Gravagerz AMG</t>
  </si>
  <si>
    <t>https://p19-sign.tiktokcdn-us.com/tos-useast5-p-0068-tx/ogyz2zAMfAIYtfEQADjPKfEEPEHkFIAyFzAQ8y~tplv-tiktokx-origin.image?dr=10395&amp;x-expires=1757631600&amp;x-signature=tWalgh%2FpBxCmCF1%2FVamJrFo9%2BMc%3D&amp;t=4d5b0474&amp;ps=13740610&amp;shp=81f88b70&amp;shcp=43f4a2f9&amp;idc=no1a</t>
  </si>
  <si>
    <t>@SKIMS 10/10. not flooding or sagging?! 🤗 and they’re a size small, not an xl 🥰🥰 @Aritzia Top 🩶 #skims #skimssweatpants #tallgirlapproved #longsweatpants #sweats #graysweatpants #skimsreview #aritzia #tna #artiziahaul #tryon #clothingreview</t>
  </si>
  <si>
    <t>🤠 💌 eviecrawfordxcollab@gmail.com</t>
  </si>
  <si>
    <t>https://www.tiktok.com/@th1s1saj0k3</t>
  </si>
  <si>
    <t>EV</t>
  </si>
  <si>
    <t>th1s1saj0k3</t>
  </si>
  <si>
    <t>6714013419890852870</t>
  </si>
  <si>
    <r>
      <rPr>
        <u/>
        <sz val="12"/>
        <color rgb="FF1155CC"/>
        <rFont val="Calibri"/>
        <family val="2"/>
        <scheme val="minor"/>
      </rPr>
      <t>https://www.tiktok.com/@skims/video/7465556884578241834</t>
    </r>
  </si>
  <si>
    <t>SKIMS</t>
  </si>
  <si>
    <t>https://p16-sign-va.tiktokcdn.com/tos-maliva-i-e1os8tt47a-us/2bc155e5d6b64211b2471f9c772d700f~tplv-tiktokx-origin.image?dr=10395&amp;x-expires=1757631600&amp;x-signature=14XmZ195aMeItq8TiNhEayd6zbE%3D&amp;t=4d5b0474&amp;ps=13740610&amp;shp=81f88b70&amp;shcp=43f4a2f9&amp;idc=no1a</t>
  </si>
  <si>
    <t>@carolyn in the skims cotton jersey heart collection. 💗</t>
  </si>
  <si>
    <t>The next generation of underwear and loungewear.</t>
  </si>
  <si>
    <t>https://www.tiktok.com/@skims</t>
  </si>
  <si>
    <t>skims</t>
  </si>
  <si>
    <t>6601553496352751622</t>
  </si>
  <si>
    <r>
      <rPr>
        <u/>
        <sz val="12"/>
        <color rgb="FF1155CC"/>
        <rFont val="Calibri"/>
        <family val="2"/>
        <scheme val="minor"/>
      </rPr>
      <t>https://www.tiktok.com/@arlyreyesss/video/7538575538198236430</t>
    </r>
  </si>
  <si>
    <t>vowl. &amp; Sace</t>
  </si>
  <si>
    <t>https://p16-sign.tiktokcdn-us.com/tos-useast5-p-0068-tx/oA3QAIMDjxmQRAZeeEmPkMpFD4pGICLVkeIHRx~tplv-tiktokx-origin.image?dr=10395&amp;x-expires=1757631600&amp;x-signature=QumYmEMCapob95jaKNQ9GN1SydU%3D&amp;t=4d5b0474&amp;ps=13740610&amp;shp=81f88b70&amp;shcp=43f4a2f9&amp;idc=no1a</t>
  </si>
  <si>
    <t>i LOVE this shade for fall🍷@SKIMS #fallfashion #skims #kimkardashian #skimsloungeset #fallaesthetics</t>
  </si>
  <si>
    <t>🩷💗🎀🌸</t>
  </si>
  <si>
    <t>https://www.tiktok.com/@arlyreyesss</t>
  </si>
  <si>
    <t>arly ♡</t>
  </si>
  <si>
    <t>arlyreyesss</t>
  </si>
  <si>
    <t>154408455322251264</t>
  </si>
  <si>
    <r>
      <rPr>
        <u/>
        <sz val="12"/>
        <color rgb="FF1155CC"/>
        <rFont val="Calibri"/>
        <family val="2"/>
        <scheme val="minor"/>
      </rPr>
      <t>https://www.tiktok.com/@inesnobree/video/7277264018304175393</t>
    </r>
  </si>
  <si>
    <t>Sabrina Carpenter</t>
  </si>
  <si>
    <t>Feather - Sped Up</t>
  </si>
  <si>
    <t>https://p19-common-sign-useastred.tiktokcdn-eu.com/tos-useast2a-p-0037-euttp/c7ff366c7d164821a8bd875fc486b31a_1694370076~tplv-tiktokx-origin.image?dr=10395&amp;x-expires=1757631600&amp;x-signature=C5tLZ6BuWqkPPi6RWkguR6Jt%2FB8%3D&amp;t=4d5b0474&amp;ps=13740610&amp;shp=81f88b70&amp;shcp=43f4a2f9&amp;idc=no1a</t>
  </si>
  <si>
    <t>@SKIMS abre uma loja em Portugal!!! #skims #skimsdress</t>
  </si>
  <si>
    <t>i do youtube :D 💌 thais.veras@mbdigital.pt made in 🇵🇹</t>
  </si>
  <si>
    <t>https://www.tiktok.com/@inesnobree</t>
  </si>
  <si>
    <t>Inês Nobre</t>
  </si>
  <si>
    <t>inesnobree</t>
  </si>
  <si>
    <t>6981556336589243397</t>
  </si>
  <si>
    <r>
      <rPr>
        <u/>
        <sz val="12"/>
        <color rgb="FF1155CC"/>
        <rFont val="Calibri"/>
        <family val="2"/>
        <scheme val="minor"/>
      </rPr>
      <t>https://www.tiktok.com/@lynda__beauty/video/7533358417675668758</t>
    </r>
  </si>
  <si>
    <t>lynda__beauty</t>
  </si>
  <si>
    <t>https://p16-pu-sign-no.tiktokcdn-eu.com/tos-no1a-p-0037-no/ooYvi4EaQQeeecOL7uRIXMyDFQtAIBz8AAKWUj~tplv-tiktokx-origin.image?dr=10395&amp;x-expires=1757631600&amp;x-signature=ilXNWv0Xc7YFsqRGIYoOwABb5es%3D&amp;t=4d5b0474&amp;ps=13740610&amp;shp=81f88b70&amp;shcp=43f4a2f9&amp;idc=no1a</t>
  </si>
  <si>
    <t>@SKIMS 🤍 #fyp #viralvideos #skincare #modelingmask #explore</t>
  </si>
  <si>
    <t>✨For collab:lalynd@icloud.com ✨ 📍🇩🇪 ✨Insta:lynda__missaoui✨</t>
  </si>
  <si>
    <t>https://www.tiktok.com/@lynda__beauty</t>
  </si>
  <si>
    <r>
      <rPr>
        <u/>
        <sz val="12"/>
        <color rgb="FF1155CC"/>
        <rFont val="Calibri"/>
        <family val="2"/>
        <scheme val="minor"/>
      </rPr>
      <t>https://www.tiktok.com/@charlie__gl/video/7291286482357144875</t>
    </r>
  </si>
  <si>
    <t>ℒ</t>
  </si>
  <si>
    <t>https://p16-sign.tiktokcdn-us.com/tos-useast5-p-0068-tx/8fc9a8908b1a441686a36f38aa6765e6_1697634940~tplv-tiktokx-origin.image?dr=10395&amp;x-expires=1757631600&amp;x-signature=1ziMd79LT%2F5ZqIv%2FOvMy8384lkw%3D&amp;t=4d5b0474&amp;ps=13740610&amp;shp=81f88b70&amp;shcp=43f4a2f9&amp;idc=no1a</t>
  </si>
  <si>
    <t>the best staples in my wardrobe 🤌🏼🖤 #skims #skimsbodysuit #skimsbasics #fitseverybody @SKIMS</t>
  </si>
  <si>
    <t>All things Girly 🤍 charlie@mostwantedmodels.com</t>
  </si>
  <si>
    <t>https://www.tiktok.com/@charlie__gl</t>
  </si>
  <si>
    <t>charlie</t>
  </si>
  <si>
    <t>charlie__gl</t>
  </si>
  <si>
    <t>7491288751719056406</t>
  </si>
  <si>
    <r>
      <rPr>
        <u/>
        <sz val="12"/>
        <color rgb="FF1155CC"/>
        <rFont val="Calibri"/>
        <family val="2"/>
        <scheme val="minor"/>
      </rPr>
      <t>https://www.tiktok.com/@jeady.geul/video/7526519081722236193</t>
    </r>
  </si>
  <si>
    <t>Connor Price &amp; Haviah Mighty</t>
  </si>
  <si>
    <t>Trendsetter</t>
  </si>
  <si>
    <t>https://p19-common-sign-useastred.tiktokcdn-eu.com/tos-useast2a-p-0037-euttp/oIY30BpiaPhEAByDAWRVsAIWz2HAEgOHBkiI0~tplv-tiktokx-origin.image?dr=10395&amp;x-expires=1757631600&amp;x-signature=7JmyjCO488cegORQ%2BZfb6Jqszzk%3D&amp;t=4d5b0474&amp;ps=13740610&amp;shp=81f88b70&amp;shcp=43f4a2f9&amp;idc=no1a</t>
  </si>
  <si>
    <t>SKIMS 🤝🏻 2nd skin @SKIMS #skimspartner #skims #tanktop #basics #outfitcheck #gifted #fyp #fouryou #ootd #BauduccoLover</t>
  </si>
  <si>
    <t>✨🧸🫶🏼🧚‍♀️🪐 💌jeageul@hotmail.com</t>
  </si>
  <si>
    <t>https://www.tiktok.com/@jeady.geul</t>
  </si>
  <si>
    <t>jeady.geul</t>
  </si>
  <si>
    <t>7053511995993228334</t>
  </si>
  <si>
    <r>
      <rPr>
        <u/>
        <sz val="12"/>
        <color rgb="FF1155CC"/>
        <rFont val="Calibri"/>
        <family val="2"/>
        <scheme val="minor"/>
      </rPr>
      <t>https://www.tiktok.com/@giadiminosupremacy/video/7282516775244352814</t>
    </r>
  </si>
  <si>
    <t>poloactivee</t>
  </si>
  <si>
    <t>https://p16-sign.tiktokcdn-us.com/tos-useast5-p-0068-tx/4883a5cb5817443ba5427f8b4914ae84_1695593084~tplv-tiktokx-origin.image?dr=10395&amp;x-expires=1757631600&amp;x-signature=Db4RPsULVq7t%2BxyOJ43olBAv624%3D&amp;t=4d5b0474&amp;ps=13740610&amp;shp=81f88b70&amp;shcp=43f4a2f9&amp;idc=no1a</t>
  </si>
  <si>
    <t>maxi dresses forever🧎‍♀️🧎‍♀️#fyp #skims #foryouu</t>
  </si>
  <si>
    <t>🇵🇭 THIS IS MY ONLY ACC!!! @Fashion Nova no edits, no surgery on this page🙏</t>
  </si>
  <si>
    <t>https://www.tiktok.com/@giadiminosupremacy</t>
  </si>
  <si>
    <t>gia dimino</t>
  </si>
  <si>
    <t>giadiminosupremacy</t>
  </si>
  <si>
    <t>7097613709203735594</t>
  </si>
  <si>
    <r>
      <rPr>
        <u/>
        <sz val="12"/>
        <color rgb="FF1155CC"/>
        <rFont val="Calibri"/>
        <family val="2"/>
        <scheme val="minor"/>
      </rPr>
      <t>https://www.tiktok.com/@uloveemilyy/video/7528787026628398366</t>
    </r>
  </si>
  <si>
    <t>Portishead</t>
  </si>
  <si>
    <t>Glory Box - Live</t>
  </si>
  <si>
    <t>https://p16-pu-sign-useast8.tiktokcdn-us.com/tos-useast8-p-0068-tx2/oYAeDf4BIEeqQBQZ2CQAFC63Itj6A7WCLIZTaX~tplv-tiktokx-origin.image?dr=10395&amp;x-expires=1757631600&amp;x-signature=h2JqbZ7CwADHcc9I6EPBAN0CUQs%3D&amp;t=4d5b0474&amp;ps=13740610&amp;shp=81f88b70&amp;shcp=43f4a2f9&amp;idc=no1a</t>
  </si>
  <si>
    <t>Ft new skims! #skims #foryoupage #foryou #fyppp #viral #trending #fyppppppppppppppppppppppp</t>
  </si>
  <si>
    <t>Snap~ esheesley22</t>
  </si>
  <si>
    <t>https://www.tiktok.com/@uloveemilyy</t>
  </si>
  <si>
    <t>emily</t>
  </si>
  <si>
    <t>uloveemilyy</t>
  </si>
  <si>
    <t>126200450701340672</t>
  </si>
  <si>
    <r>
      <rPr>
        <u/>
        <sz val="12"/>
        <color rgb="FF1155CC"/>
        <rFont val="Calibri"/>
        <family val="2"/>
        <scheme val="minor"/>
      </rPr>
      <t>https://www.tiktok.com/@kriselamae/video/7532956116892863775</t>
    </r>
  </si>
  <si>
    <t>Ocean Alley</t>
  </si>
  <si>
    <t>Confidence (sped up version)</t>
  </si>
  <si>
    <t>https://p16-pu-sign-useast8.tiktokcdn-us.com/tos-useast8-p-0068-tx2/oUREeE8VA7EQnE4oCmVFE7PiQBsf32gUyAD3Ez~tplv-tiktokx-origin.image?dr=10395&amp;x-expires=1757631600&amp;x-signature=AIr%2FKBNX664cj%2BtRKyf27mKNmxs%3D&amp;t=4d5b0474&amp;ps=13740610&amp;shp=81f88b70&amp;shcp=43f4a2f9&amp;idc=no1a</t>
  </si>
  <si>
    <t>loving at @SKIMS for the summer #skimspartner #fyp #summer #foryou</t>
  </si>
  <si>
    <t>do it all with love 🤍🪷 💌 kriselamae721@gmail.com</t>
  </si>
  <si>
    <t>https://www.tiktok.com/@kriselamae</t>
  </si>
  <si>
    <t>krisela</t>
  </si>
  <si>
    <t>kriselamae</t>
  </si>
  <si>
    <t>6776169690425295878</t>
  </si>
  <si>
    <r>
      <rPr>
        <u/>
        <sz val="12"/>
        <color rgb="FF1155CC"/>
        <rFont val="Calibri"/>
        <family val="2"/>
        <scheme val="minor"/>
      </rPr>
      <t>https://www.tiktok.com/@breuninger/video/7430135314926013729</t>
    </r>
  </si>
  <si>
    <t>Breuninger</t>
  </si>
  <si>
    <t>Originalton</t>
  </si>
  <si>
    <t>https://p19-common-sign-useastred.tiktokcdn-eu.com/tos-useast2a-p-0037-euttp/3203acf324494e0885ab9f052f317d1d_1729963201~tplv-tiktokx-origin.image?dr=10395&amp;x-expires=1757631600&amp;x-signature=YQKBUNo8X1Kl22A%2BRvAtk9VNHdk%3D&amp;t=4d5b0474&amp;ps=13740610&amp;shp=81f88b70&amp;shcp=43f4a2f9&amp;idc=no1a</t>
  </si>
  <si>
    <t>Skims has landed in Stuttgart🔥 @vickynatascha is trying on the latest must-have pieces from @SKIMS at our launch event. Come by and explore the full range. Available at our flagship stores in Munich, Düsseldorf, Stuttgart and also online. 💫 #skimspartner #Breuninger #Breuningermoments</t>
  </si>
  <si>
    <t>✨Welcome to the beautiful things in life✨ Tag your #breuningermoments</t>
  </si>
  <si>
    <t>https://www.tiktok.com/@breuninger</t>
  </si>
  <si>
    <t>breuninger</t>
  </si>
  <si>
    <t>6965803236147610630</t>
  </si>
  <si>
    <r>
      <rPr>
        <u/>
        <sz val="12"/>
        <color rgb="FF1155CC"/>
        <rFont val="Calibri"/>
        <family val="2"/>
        <scheme val="minor"/>
      </rPr>
      <t>https://www.tiktok.com/@starrylionstore/video/7494184870869011743</t>
    </r>
  </si>
  <si>
    <t>MEYY</t>
  </si>
  <si>
    <t>Pretty (Sped Up)</t>
  </si>
  <si>
    <t>https://p16-pu-sign-useast8.tiktokcdn-us.com/tos-useast8-p-0068-tx2/ocTeEIF1AUV9kmpAEADAIEA8VcoAsCACALEvfq~tplv-tiktokx-origin.image?dr=10395&amp;x-expires=1757631600&amp;x-signature=t3s4RX5OGo4L%2FTvaETVz%2BM5TVxQ%3D&amp;t=4d5b0474&amp;ps=13740610&amp;shp=81f88b70&amp;shcp=43f4a2f9&amp;idc=no1a</t>
  </si>
  <si>
    <t>Basic casual style lace cami bodysuit🥳🥳Perfect match with jeans🫶🏼🫶🏼#amazonbasics #amazonfashionfinds #amazontops #skimsdupe #skimsinspired #starrylion #summerlooks #summertanktops #amazonmusthaves #springfashion #amazonbodysuit</t>
  </si>
  <si>
    <t>Not Your Average Apparel Brand🔆 Follow Us🔥 👇🏻</t>
  </si>
  <si>
    <t>https://www.tiktok.com/@starrylionstore</t>
  </si>
  <si>
    <t>starrylionstore</t>
  </si>
  <si>
    <t>6701650339290334213</t>
  </si>
  <si>
    <r>
      <rPr>
        <u/>
        <sz val="12"/>
        <color rgb="FF1155CC"/>
        <rFont val="Calibri"/>
        <family val="2"/>
        <scheme val="minor"/>
      </rPr>
      <t>https://www.tiktok.com/@complex/video/7447912171540876574</t>
    </r>
  </si>
  <si>
    <t>COMPLEX</t>
  </si>
  <si>
    <t>https://p16-pu-sign-useast8.tiktokcdn-us.com/tos-useast8-p-0068-tx2/o4FsE4fDVIzfRCnEDmE6CXmE4CYAbEzAFAAAQA~tplv-tiktokx-origin.image?dr=10395&amp;x-expires=1757631600&amp;x-signature=0ilXKhUlmGevHBccw6Y0P9XSmM4%3D&amp;t=4d5b0474&amp;ps=13740610&amp;shp=81f88b70&amp;shcp=43f4a2f9&amp;idc=no1a</t>
  </si>
  <si>
    <t>We caught up with @Kim Kardashian at the @SKIMS NYC Flagship event tonight Kim has officially brought #Skims to New York! 🗽 #kimkardashian</t>
  </si>
  <si>
    <t>Making Culture Pop.</t>
  </si>
  <si>
    <t>https://www.tiktok.com/@complex</t>
  </si>
  <si>
    <t>complex</t>
  </si>
  <si>
    <t>6532168598121616384</t>
  </si>
  <si>
    <r>
      <rPr>
        <u/>
        <sz val="12"/>
        <color rgb="FF1155CC"/>
        <rFont val="Calibri"/>
        <family val="2"/>
        <scheme val="minor"/>
      </rPr>
      <t>https://www.tiktok.com/@alias_cay/video/7494693409391676694</t>
    </r>
  </si>
  <si>
    <t>https://p16-pu-sign-no.tiktokcdn-eu.com/tos-no1a-p-0037-no/oY0AAGfQYALfsqpeiA2JNgAffANrEAvqIgqUAQ~tplv-tiktokx-origin.image?dr=10395&amp;x-expires=1757631600&amp;x-signature=tBTGCua2%2FhSV0y0Z5x%2B910WAJoA%3D&amp;t=4d5b0474&amp;ps=13740610&amp;shp=81f88b70&amp;shcp=43f4a2f9&amp;idc=no1a</t>
  </si>
  <si>
    <t>#fyp</t>
  </si>
  <si>
    <t>𝐴𝑙𝑖𝑐𝑖𝑎 😸 🇲🇶</t>
  </si>
  <si>
    <t>https://www.tiktok.com/@alias_cay</t>
  </si>
  <si>
    <t>Alias</t>
  </si>
  <si>
    <t>alias_cay</t>
  </si>
  <si>
    <t>7233246948492641323</t>
  </si>
  <si>
    <r>
      <rPr>
        <u/>
        <sz val="12"/>
        <color rgb="FF1155CC"/>
        <rFont val="Calibri"/>
        <family val="2"/>
        <scheme val="minor"/>
      </rPr>
      <t>https://www.tiktok.com/@southerncaylabrii/video/7419300088800873771</t>
    </r>
  </si>
  <si>
    <t>Jo Tyler</t>
  </si>
  <si>
    <t>Cocky</t>
  </si>
  <si>
    <t>https://p16-sign.tiktokcdn-us.com/tos-useast5-p-0068-tx/oE2wg9DBBImtFvIYqSfBR7g6iyRMpqEeAEDkFE~tplv-tiktokx-origin.image?dr=10395&amp;x-expires=1757631600&amp;x-signature=ng%2BV8bkIlUXM69SjU8ohrzKD%2BIw%3D&amp;t=4d5b0474&amp;ps=13740610&amp;shp=81f88b70&amp;shcp=43f4a2f9&amp;idc=no1a</t>
  </si>
  <si>
    <t>IG-cowgirlcaylabri</t>
  </si>
  <si>
    <t>https://www.tiktok.com/@southerncaylabrii</t>
  </si>
  <si>
    <t>Cayla</t>
  </si>
  <si>
    <t>southerncaylabrii</t>
  </si>
  <si>
    <t>6737211082853843974</t>
  </si>
  <si>
    <r>
      <rPr>
        <u/>
        <sz val="12"/>
        <color rgb="FF1155CC"/>
        <rFont val="Calibri"/>
        <family val="2"/>
        <scheme val="minor"/>
      </rPr>
      <t>https://www.tiktok.com/@gh0bbs/video/7525796504615832854</t>
    </r>
  </si>
  <si>
    <t>slipstream</t>
  </si>
  <si>
    <t>somebody</t>
  </si>
  <si>
    <t>https://p16-pu-sign-no.tiktokcdn-eu.com/tos-no1a-p-0037-no/ooeGIR9Y2vXVN9fxREGbIHeAACLBWhAfwWGQPI~tplv-tiktokx-origin.image?dr=10395&amp;x-expires=1757631600&amp;x-signature=3EPwcMgiZG14HWeLt9zGCnIi228%3D&amp;t=4d5b0474&amp;ps=13740610&amp;shp=81f88b70&amp;shcp=43f4a2f9&amp;idc=no1a</t>
  </si>
  <si>
    <t>@SKIMS #fyp #tryonhaul #outfitideas #prettygirls #skims #fakebodyy⚠️ #grwm #outfitinspo</t>
  </si>
  <si>
    <t>📍Uk Lifestyle &amp; girlie things🥂✨🫶🏼🤍 Georgiaregler@yahoo.com</t>
  </si>
  <si>
    <t>https://www.tiktok.com/@gh0bbs</t>
  </si>
  <si>
    <t>Georgia</t>
  </si>
  <si>
    <t>gh0bbs</t>
  </si>
  <si>
    <t>6932279430375605254</t>
  </si>
  <si>
    <r>
      <rPr>
        <u/>
        <sz val="12"/>
        <color rgb="FF1155CC"/>
        <rFont val="Calibri"/>
        <family val="2"/>
        <scheme val="minor"/>
      </rPr>
      <t>https://www.tiktok.com/@usfkappadelta/video/7542864797285584159</t>
    </r>
  </si>
  <si>
    <t>saweetieclips</t>
  </si>
  <si>
    <t>https://p16-pu-sign-useast8.tiktokcdn-us.com/tos-useast8-p-0068-tx2/oMQtQJIKjo1WAWGRnL2mefL2WbzIrIeAq907Cc~tplv-tiktokx-origin.image?dr=10395&amp;x-expires=1757631600&amp;x-signature=LrCDbxVftRX%2BPmjb%2BttDvIOso%2Bc%3D&amp;t=4d5b0474&amp;ps=13740610&amp;shp=81f88b70&amp;shcp=43f4a2f9&amp;idc=no1a</t>
  </si>
  <si>
    <t>Wearing everything cute, comfy, and @SKIMS #skimspartner</t>
  </si>
  <si>
    <t>univ. of south florida | delta eta 🤍 Building confidence. Inspiring action.</t>
  </si>
  <si>
    <t>https://www.tiktok.com/@usfkappadelta</t>
  </si>
  <si>
    <t>KDUSF</t>
  </si>
  <si>
    <t>usfkappadelta</t>
  </si>
  <si>
    <t>6532002990423834625</t>
  </si>
  <si>
    <r>
      <rPr>
        <u/>
        <sz val="12"/>
        <color rgb="FF1155CC"/>
        <rFont val="Calibri"/>
        <family val="2"/>
        <scheme val="minor"/>
      </rPr>
      <t>https://www.tiktok.com/@shaeswasbrookmurray/video/7383092028202093831</t>
    </r>
  </si>
  <si>
    <t>Shae Swasbrook-Murray</t>
  </si>
  <si>
    <t>https://p16-sign-sg.tiktokcdn.com/tos-alisg-p-0037/eda9233181ee440db5177936a6117fc0_1719010083~tplv-tiktokx-origin.image?dr=10395&amp;x-expires=1757631600&amp;x-signature=1LW61RikbGLBDazs%2BufGrrLANsM%3D&amp;t=4d5b0474&amp;ps=13740610&amp;shp=81f88b70&amp;shcp=43f4a2f9&amp;idc=no1a</t>
  </si>
  <si>
    <t>The perfect black dress does exist @SKIMS #skimspartner #skimsdress #skimsloungedress #ootd #grwm #plussize #plussizefashion #curvyfashion #explorepage #fashion #fashionblogger</t>
  </si>
  <si>
    <t>QLD, Australia Plus size model. Content Creator Instagram: @shaeswasbrookmurray</t>
  </si>
  <si>
    <t>https://www.tiktok.com/@shaeswasbrookmurray</t>
  </si>
  <si>
    <t>shaeswasbrookmurray</t>
  </si>
  <si>
    <t>6775193982509220870</t>
  </si>
  <si>
    <r>
      <rPr>
        <u/>
        <sz val="12"/>
        <color rgb="FF1155CC"/>
        <rFont val="Calibri"/>
        <family val="2"/>
        <scheme val="minor"/>
      </rPr>
      <t>https://www.tiktok.com/@itsmajajo/video/7517733647529577750</t>
    </r>
  </si>
  <si>
    <t>Fantomel</t>
  </si>
  <si>
    <t>GRR</t>
  </si>
  <si>
    <t>https://p16-pu-sign-no.tiktokcdn-eu.com/tos-no1a-p-0037-no/ooArFEvokEjByRaIr9UfBFWVVDyGWFIvfkZmDg~tplv-tiktokx-origin.image?dr=10395&amp;x-expires=1757631600&amp;x-signature=TJWWuQoiYKBGjI7M1LS8kczObVM%3D&amp;t=4d5b0474&amp;ps=13740610&amp;shp=81f88b70&amp;shcp=43f4a2f9&amp;idc=no1a</t>
  </si>
  <si>
    <t>Propaganda im DEFINITELY falling for: Skims bodycon dress #skims #fyp</t>
  </si>
  <si>
    <t>IG: _majajo</t>
  </si>
  <si>
    <t>https://www.tiktok.com/@itsmajajo</t>
  </si>
  <si>
    <t>itsmajajo</t>
  </si>
  <si>
    <t>6832240061275538438</t>
  </si>
  <si>
    <r>
      <rPr>
        <u/>
        <sz val="12"/>
        <color rgb="FF1155CC"/>
        <rFont val="Calibri"/>
        <family val="2"/>
        <scheme val="minor"/>
      </rPr>
      <t>https://www.tiktok.com/@achadinhosnikitaa/video/7309909972882607365</t>
    </r>
  </si>
  <si>
    <t>Jessica Fernanda</t>
  </si>
  <si>
    <t>som original</t>
  </si>
  <si>
    <t>https://p16-sign-va.tiktokcdn.com/tos-maliva-p-0068/fbfc5d2dd0b64a718aad04ffe608929e_1701971049~tplv-tiktokx-origin.image?dr=10395&amp;x-expires=1757631600&amp;x-signature=1uM%2Fi%2BVUSeyXD3l%2BDui4BADcA%2Fs%3D&amp;t=4d5b0474&amp;ps=13740610&amp;shp=81f88b70&amp;shcp=43f4a2f9&amp;idc=no1a</t>
  </si>
  <si>
    <t>Gostou? Comente eu quero😍 #look #fasshion #bodyskims #kardashians #shein #viral</t>
  </si>
  <si>
    <t>JÁ SEGUE PARA +DICAS DE COMO PAGAR BARATO NAS COMPRINHAS 🙏💕</t>
  </si>
  <si>
    <t>https://www.tiktok.com/@achadinhosnikitaa</t>
  </si>
  <si>
    <t>achadinhosnikitaa</t>
  </si>
  <si>
    <t>6892103406175241222</t>
  </si>
  <si>
    <r>
      <rPr>
        <u/>
        <sz val="12"/>
        <color rgb="FF1155CC"/>
        <rFont val="Calibri"/>
        <family val="2"/>
        <scheme val="minor"/>
      </rPr>
      <t>https://www.tiktok.com/@the.princess.mini/video/7304409353178680582</t>
    </r>
  </si>
  <si>
    <t>damoclesounds</t>
  </si>
  <si>
    <t>we cant be friends</t>
  </si>
  <si>
    <t>https://p16-sign-va.tiktokcdn.com/tos-maliva-p-0068/96cde79e77e2428291f1dd8a26647652_1700690337~tplv-tiktokx-origin.image?dr=10395&amp;x-expires=1757631600&amp;x-signature=NownpASW0WMqBBbIhqWLn5583Gk%3D&amp;t=4d5b0474&amp;ps=13740610&amp;shp=81f88b70&amp;shcp=43f4a2f9&amp;idc=no1a</t>
  </si>
  <si>
    <t>the only loungewear i’ll be wearing over the holiday season 🎀✨ @Swarovski x @SKIMS #swarovskixskims #skimsunboxing #skimsboxer #skimsloungewear</t>
  </si>
  <si>
    <t>sharing my life, my closet &amp; my pups 🎀 📍toronto 💌 sarah@mgssocial.com</t>
  </si>
  <si>
    <t>https://www.tiktok.com/@the.princess.mini</t>
  </si>
  <si>
    <t>Sarah Ensell ♡</t>
  </si>
  <si>
    <t>the.princess.mini</t>
  </si>
  <si>
    <t>7279118405277565995</t>
  </si>
  <si>
    <r>
      <rPr>
        <u/>
        <sz val="12"/>
        <color rgb="FF1155CC"/>
        <rFont val="Calibri"/>
        <family val="2"/>
        <scheme val="minor"/>
      </rPr>
      <t>https://www.tiktok.com/@user091823071521/video/7519655108896967967</t>
    </r>
  </si>
  <si>
    <t>Lil Tecca</t>
  </si>
  <si>
    <t>OWA OWA</t>
  </si>
  <si>
    <t>https://p16-pu-sign-useast8.tiktokcdn-us.com/tos-useast8-p-0068-tx2/okEA1IA8buBtsj5VSwASBEarL8blLRAiooiFv~tplv-tiktokx-origin.image?dr=10395&amp;x-expires=1757631600&amp;x-signature=pv%2FdQbaz0TI0IAoIFgIQOZxAJow%3D&amp;t=4d5b0474&amp;ps=13740610&amp;shp=81f88b70&amp;shcp=43f4a2f9&amp;idc=no1a</t>
  </si>
  <si>
    <t>HELP this bodysuit is crazy #skims</t>
  </si>
  <si>
    <t>insta: jess.knp</t>
  </si>
  <si>
    <t>https://www.tiktok.com/@user091823071521</t>
  </si>
  <si>
    <t>🪼</t>
  </si>
  <si>
    <t>user091823071521</t>
  </si>
  <si>
    <t>6756028179452707845</t>
  </si>
  <si>
    <r>
      <rPr>
        <u/>
        <sz val="12"/>
        <color rgb="FF1155CC"/>
        <rFont val="Calibri"/>
        <family val="2"/>
        <scheme val="minor"/>
      </rPr>
      <t>https://www.tiktok.com/@snipestwins/video/7308919087269285162</t>
    </r>
  </si>
  <si>
    <t>TheBossWives 🎀</t>
  </si>
  <si>
    <t>That Gworl</t>
  </si>
  <si>
    <t>https://p16-sign.tiktokcdn-us.com/tos-useast5-p-0068-tx/6c76fdadf2fe40b7924601cc0ece1a4b_1701740348~tplv-tiktokx-origin.image?dr=10395&amp;x-expires=1757631600&amp;x-signature=LA4Sm8%2Fk9FDyXddoqWfOcO98xDI%3D&amp;t=4d5b0474&amp;ps=13740610&amp;shp=81f88b70&amp;shcp=43f4a2f9&amp;idc=no1a</t>
  </si>
  <si>
    <t>When the amazon set WINS 🤩 SKIMS COTTON JERSEY SET look alike in black! Provided tags since people doubted last time!! 😎 amazon vs SKIMS #skims #skimsreview #skimstryon #skimscottonjersey #skimscottonjerseylongsleeve #cottonjerseycollection #skimscottoncollection #kimsfoldoverpants #skimsonabudget #Skimslounge #skimsgreylongsleeve #blackclothes #blackclothing #brunette</t>
  </si>
  <si>
    <t>ALL 🔗s ⬇️</t>
  </si>
  <si>
    <t>https://www.tiktok.com/@snipestwins</t>
  </si>
  <si>
    <t>Heidi &amp; Tara</t>
  </si>
  <si>
    <t>snipestwins</t>
  </si>
  <si>
    <t>6727064595318834182</t>
  </si>
  <si>
    <r>
      <rPr>
        <u/>
        <sz val="12"/>
        <color rgb="FF1155CC"/>
        <rFont val="Calibri"/>
        <family val="2"/>
        <scheme val="minor"/>
      </rPr>
      <t>https://www.tiktok.com/@lexthelibraa/video/7375309454683688235</t>
    </r>
  </si>
  <si>
    <t>Official Sound Studio</t>
  </si>
  <si>
    <t>Hey It's Me</t>
  </si>
  <si>
    <t>https://p16-sign.tiktokcdn-us.com/tos-useast5-p-0068-tx/ec924f22501249f48b7f59a711f037d2_1717198053~tplv-tiktokx-dmt-logom:tos-useast5-i-0068-tx/oIOIIivTZB44RXjEpN6kAZEgABA3labEXcAiB.image?dr=10393&amp;x-expires=1757631600&amp;x-signature=zBZOyhy5kNMtHmm1FWb5pS0xFlI%3D&amp;t=4d5b0474&amp;ps=13740610&amp;shp=81f88b70&amp;shcp=43f4a2f9&amp;idc=no1a</t>
  </si>
  <si>
    <t>My go to summer dress is from @SKIMS 🤍 the soft lounge long slip dress in cherry blossom 🌸 #skimspartner #skimssoftlounge #skimsdress</t>
  </si>
  <si>
    <t>📍san francisco ur bay area fashion bestie 💌 lexthelibra.management@gmail.com</t>
  </si>
  <si>
    <t>https://www.tiktok.com/@lexthelibraa</t>
  </si>
  <si>
    <t>Lex│San Francisco</t>
  </si>
  <si>
    <t>lexthelibraa</t>
  </si>
  <si>
    <t>6643101126684934150</t>
  </si>
  <si>
    <r>
      <rPr>
        <u/>
        <sz val="12"/>
        <color rgb="FF1155CC"/>
        <rFont val="Calibri"/>
        <family val="2"/>
        <scheme val="minor"/>
      </rPr>
      <t>https://www.tiktok.com/@mbymelanightt/video/7494341150539533590</t>
    </r>
  </si>
  <si>
    <t>Melanightt ⭐️</t>
  </si>
  <si>
    <t>son original</t>
  </si>
  <si>
    <t>https://p16-pu-sign-no.tiktokcdn-eu.com/tos-no1a-p-0037-no/oEP9pF0EEI8IgwAgTBf7fcWARsYnoDkMFBQ5Bo~tplv-tiktokx-origin.image?dr=10395&amp;x-expires=1757631600&amp;x-signature=SOMh%2FgMx3P9D433m6%2FWCGVbKLQc%3D&amp;t=4d5b0474&amp;ps=13740610&amp;shp=81f88b70&amp;shcp=43f4a2f9&amp;idc=no1a</t>
  </si>
  <si>
    <t>#kimkardashian #skims #grwm</t>
  </si>
  <si>
    <t>𝕀𝕟𝕤𝕥𝕒𝕘𝕣𝕒𝕞: ᴍᴇʟᴀɴɪɢʜᴛᴛ 𝕊𝕟𝕒𝕡: ᴍᴇʟᴀɴɪɢɴᴛ 𝕐𝕠𝕦𝕥𝕦𝕓𝕖: ᴍʙʏᴍᴇʟᴀɴɪɢʜᴛᴛ</t>
  </si>
  <si>
    <t>https://www.tiktok.com/@mbymelanightt</t>
  </si>
  <si>
    <t>mbymelanightt</t>
  </si>
  <si>
    <t>6913549832196113414</t>
  </si>
  <si>
    <r>
      <rPr>
        <u/>
        <sz val="12"/>
        <color rgb="FF1155CC"/>
        <rFont val="Calibri"/>
        <family val="2"/>
        <scheme val="minor"/>
      </rPr>
      <t>https://www.tiktok.com/@chana.kesselaar/video/7463461081252465942</t>
    </r>
  </si>
  <si>
    <t>Ida Corr &amp; Fedde Le Grand</t>
  </si>
  <si>
    <t>Let Me Think About It</t>
  </si>
  <si>
    <t>https://p16-pu-sign-no.tiktokcdn-eu.com/tos-no1a-p-0037-no/oYEHs0EgkUAFfE92CSRjxkfoAmDcFCAI9AbnTT~tplv-tiktokx-origin.image?dr=10395&amp;x-expires=1757631600&amp;x-signature=ZyBvHQtmxw%2Bu9%2FHP6OxlZ7a1C80%3D&amp;t=4d5b0474&amp;ps=13740610&amp;shp=81f88b70&amp;shcp=43f4a2f9&amp;idc=no1a</t>
  </si>
  <si>
    <t>a few items i got from the skims sale 💕💗💓 #skims #skimshaul #pinkaesthetic</t>
  </si>
  <si>
    <t>fits and bits 💌 chana_kesselaar@hotmail.com</t>
  </si>
  <si>
    <t>https://www.tiktok.com/@chana.kesselaar</t>
  </si>
  <si>
    <t>chana</t>
  </si>
  <si>
    <t>chana.kesselaar</t>
  </si>
  <si>
    <t>6685790387389334533</t>
  </si>
  <si>
    <r>
      <rPr>
        <u/>
        <sz val="12"/>
        <color rgb="FF1155CC"/>
        <rFont val="Calibri"/>
        <family val="2"/>
        <scheme val="minor"/>
      </rPr>
      <t>https://www.tiktok.com/@nicolemc67/video/7399660364889181483</t>
    </r>
  </si>
  <si>
    <t>Nessa Barrett</t>
  </si>
  <si>
    <t>PASSENGER PRINCESS</t>
  </si>
  <si>
    <t>https://p16-sign.tiktokcdn-us.com/tos-useast5-p-0068-tx/ocEipuIgSKAFsENv9DRKusfPV9DQDBhQYCfmyh~tplv-tiktokx-origin.image?dr=10395&amp;x-expires=1757631600&amp;x-signature=O4W%2BRtvwsOBzuJ1INeuWvbmF%2Bak%3D&amp;t=4d5b0474&amp;ps=13740610&amp;shp=81f88b70&amp;shcp=43f4a2f9&amp;idc=no1a</t>
  </si>
  <si>
    <t>Skims over everything &gt;&gt;&gt;&gt; @SKIMS #skims #skimsromper #outfit #ootd #fitcheck</t>
  </si>
  <si>
    <t>Health🧘🏻‍♀️ | Food🥗 | Lifestyle🕺 | TikTok Shop Affiliate🛍️</t>
  </si>
  <si>
    <t>https://www.tiktok.com/@nicolemc67</t>
  </si>
  <si>
    <t>Nicole McNamee</t>
  </si>
  <si>
    <t>nicolemc67</t>
  </si>
  <si>
    <t>7451767406437778454</t>
  </si>
  <si>
    <r>
      <rPr>
        <u/>
        <sz val="12"/>
        <color rgb="FF1155CC"/>
        <rFont val="Calibri"/>
        <family val="2"/>
        <scheme val="minor"/>
      </rPr>
      <t>https://www.tiktok.com/@avenir.clothing8/video/7491780241342483734</t>
    </r>
  </si>
  <si>
    <t>Avenir Clothing</t>
  </si>
  <si>
    <t>https://p16-pu-sign-no.tiktokcdn-eu.com/tos-no1a-p-0037-no/oEfQ5mtchShIIs8Dkg4M8LQjyDAWEcEAbffPAZ~tplv-tiktokx-origin.image?dr=10395&amp;x-expires=1757631600&amp;x-signature=D7Egf%2BkRbr%2FwrKuahw4yIUdFPaU%3D&amp;t=4d5b0474&amp;ps=13740610&amp;shp=81f88b70&amp;shcp=43f4a2f9&amp;idc=no1a</t>
  </si>
  <si>
    <t>Mach es wie Luna und hol dir das Heartbeat Lounge Set💝 #springbreak #springtok #summertime #heart #skims</t>
  </si>
  <si>
    <t>Clothing Brand "The future is now"</t>
  </si>
  <si>
    <t>https://www.tiktok.com/@avenir.clothing8</t>
  </si>
  <si>
    <t>avenir.clothing8</t>
  </si>
  <si>
    <t>6797509906574820358</t>
  </si>
  <si>
    <r>
      <rPr>
        <u/>
        <sz val="12"/>
        <color rgb="FF1155CC"/>
        <rFont val="Calibri"/>
        <family val="2"/>
        <scheme val="minor"/>
      </rPr>
      <t>https://www.tiktok.com/@artikelnummer_sh/video/7543210011414121750</t>
    </r>
  </si>
  <si>
    <t>NLE Choppa</t>
  </si>
  <si>
    <t>Gang Baby</t>
  </si>
  <si>
    <t>https://p16-pu-sign-no.tiktokcdn-eu.com/tos-no1a-p-0037-no/osCBKBAA46iAOI5qE4BVjAyiauEv2YdY73ipi~tplv-tiktokx-origin.image?dr=10395&amp;x-expires=1757631600&amp;x-signature=9AWkOLc5PPzvKbDAvGMO3bdZCFc%3D&amp;t=4d5b0474&amp;ps=13740610&amp;shp=81f88b70&amp;shcp=43f4a2f9&amp;idc=no1a</t>
  </si>
  <si>
    <t>Svarar @Holly x @SKIMS Seamless Sculpt THONG BODYSUIT 🤍</t>
  </si>
  <si>
    <t>Instagram: Artikelnummer_sh</t>
  </si>
  <si>
    <t>https://www.tiktok.com/@artikelnummer_sh</t>
  </si>
  <si>
    <t>Artikelnummer</t>
  </si>
  <si>
    <t>artikelnummer_sh</t>
  </si>
  <si>
    <r>
      <rPr>
        <u/>
        <sz val="12"/>
        <color rgb="FF1155CC"/>
        <rFont val="Calibri"/>
        <family val="2"/>
        <scheme val="minor"/>
      </rPr>
      <t>https://www.tiktok.com/@isabellamuhairez/video/7454333537261587744</t>
    </r>
  </si>
  <si>
    <t>venny</t>
  </si>
  <si>
    <t>sour haribos (Slowed + Reverb)</t>
  </si>
  <si>
    <t>https://p16-common-sign-useast2a.tiktokcdn-us.com/tos-useast2a-p-0037-euttp/oIHszFfEEIBEQPcFxzfz6AkARA2TnDPiDA0OCx~tplv-tiktokx-origin.image?dr=9636&amp;x-expires=1757631600&amp;x-signature=FzXYylXCsTfPrESCzzxdO23NqRE%3D&amp;t=4d5b0474&amp;ps=13740610&amp;shp=81f88b70&amp;shcp=43f4a2f9&amp;idc=useast8</t>
  </si>
  <si>
    <t>🖤 #gymtok #gymgirls #gym #dress #skims</t>
  </si>
  <si>
    <r>
      <rPr>
        <u/>
        <sz val="12"/>
        <color rgb="FF1155CC"/>
        <rFont val="Calibri"/>
        <family val="2"/>
        <scheme val="minor"/>
      </rPr>
      <t>https://www.tiktok.com/@skims/video/7547356048730901815</t>
    </r>
  </si>
  <si>
    <t>arachang</t>
  </si>
  <si>
    <t>Inspirational piano and strings, post-classical 10(1373065)</t>
  </si>
  <si>
    <t>https://p16-sign.tiktokcdn-us.com/tos-useast5-p-0068-tx/o8IGnwI91Wih0vGfFAejLcAICHIeOU1DOzeimR~tplv-tiktokx-origin.image?dr=9636&amp;x-expires=1757631600&amp;x-signature=N4DKgGEVumVt%2FKuQ5OK5o%2FlYHtM%3D&amp;t=4d5b0474&amp;ps=13740610&amp;shp=81f88b70&amp;shcp=43f4a2f9&amp;idc=useast8</t>
  </si>
  <si>
    <t>THE dinner party 🍽️</t>
  </si>
  <si>
    <t>6733333268870251526</t>
  </si>
  <si>
    <r>
      <rPr>
        <u/>
        <sz val="12"/>
        <color rgb="FF1155CC"/>
        <rFont val="Calibri"/>
        <family val="2"/>
        <scheme val="minor"/>
      </rPr>
      <t>https://www.tiktok.com/@evelynomadera/video/7411319543429156127</t>
    </r>
  </si>
  <si>
    <t>evelyn ortiz</t>
  </si>
  <si>
    <t>https://p16-pu-sign-useast8.tiktokcdn-us.com/tos-useast8-p-0068-tx2/cc991c34d4b04c37957e67124d5f073f_1725582312~tplv-tiktokx-dmt-logom:tos-useast8-i-0068-tx2/ooDZAEoAvQl2iFPEkVLfGoqetPAMCRAa0mIkAE.image?dr=9634&amp;x-expires=1757631600&amp;x-signature=Je5sx7gbwWKNsmKL%2B93XQEVMOI8%3D&amp;t=4d5b0474&amp;ps=13740610&amp;shp=81f88b70&amp;shcp=43f4a2f9&amp;idc=useast8</t>
  </si>
  <si>
    <t>Kim buying me skims 💸 @Kim Vega @Vinny #fyp #skims #shopping</t>
  </si>
  <si>
    <t>SNAP | ortizz.evelyn ⭐️evelynortiz@themuseagency.com⭐️</t>
  </si>
  <si>
    <t>https://www.tiktok.com/@evelynomadera</t>
  </si>
  <si>
    <t>evelynomadera</t>
  </si>
  <si>
    <t>6749690764152587270</t>
  </si>
  <si>
    <r>
      <rPr>
        <u/>
        <sz val="12"/>
        <color rgb="FF1155CC"/>
        <rFont val="Calibri"/>
        <family val="2"/>
        <scheme val="minor"/>
      </rPr>
      <t>https://www.tiktok.com/@avericamille/video/7282217958787632415</t>
    </r>
  </si>
  <si>
    <t>avericamille</t>
  </si>
  <si>
    <t>https://p19-pu-sign-useast8.tiktokcdn-us.com/tos-useast8-p-0068-tx2/oUqIAb0PaA3jnOXIBPJDAeCqoIHeEsteKnQzkI~tplv-tiktokx-dmt-logom:tos-useast8-i-0068-tx2/o0IIAPKD6uEPDAqlAAAIRoleLbAiq4EVEneCAu.image?dr=9634&amp;x-expires=1757631600&amp;x-signature=GxtedRAzooeMRKVCloaTek16zd8%3D&amp;t=4d5b0474&amp;ps=13740610&amp;shp=81f88b70&amp;shcp=43f4a2f9&amp;idc=useast5</t>
  </si>
  <si>
    <t>Just 4 skims girllllsssss🫡 #curvyfashion #skimstryon #curvystyle #skims #skimsreview #plussizeedition #plussizefashion #curvytiktok</t>
  </si>
  <si>
    <t>curvy girls can be cool girls too 💌 shelby.marra@thedigitalbrandarchitects.com</t>
  </si>
  <si>
    <t>https://www.tiktok.com/@avericamille</t>
  </si>
  <si>
    <t>7499465586620597249</t>
  </si>
  <si>
    <r>
      <rPr>
        <u/>
        <sz val="12"/>
        <color rgb="FF1155CC"/>
        <rFont val="Calibri"/>
        <family val="2"/>
        <scheme val="minor"/>
      </rPr>
      <t>https://www.tiktok.com/@veronika_femenique/video/7535109157670685959</t>
    </r>
  </si>
  <si>
    <t>Echoflora</t>
  </si>
  <si>
    <t>Redwood</t>
  </si>
  <si>
    <t>https://p16-common-sign-sg.tiktokcdn-us.com/tos-alisg-p-0037/ocEwjkREIBAf7Q8kCo3grUyuUBFVVKkDhehuD5~tplv-tiktokx-origin.image?dr=9636&amp;x-expires=1757631600&amp;x-signature=iiE%2B59O0PNwlCBMNMvhatbcbbMI%3D&amp;t=4d5b0474&amp;ps=13740610&amp;shp=81f88b70&amp;shcp=43f4a2f9&amp;idc=useast5</t>
  </si>
  <si>
    <t>арт wb 348242998 📌 @Femenique Brand</t>
  </si>
  <si>
    <t>Креатор @femenique.brand 💞 Подпишись, тут каждый день новые обзоры с бельем ✨</t>
  </si>
  <si>
    <t>https://www.tiktok.com/@veronika_femenique</t>
  </si>
  <si>
    <t>veronika_femenique</t>
  </si>
  <si>
    <t>7385012152736334853</t>
  </si>
  <si>
    <r>
      <rPr>
        <u/>
        <sz val="12"/>
        <color rgb="FF1155CC"/>
        <rFont val="Calibri"/>
        <family val="2"/>
        <scheme val="minor"/>
      </rPr>
      <t>https://www.tiktok.com/@aroomikim/video/7438424655792278840</t>
    </r>
  </si>
  <si>
    <t>Vitamin String Quartet</t>
  </si>
  <si>
    <t>La Traviata</t>
  </si>
  <si>
    <t>https://p16-common-sign-va.tiktokcdn-us.com/tos-maliva-p-0068/oooE0le9IB8EJGOBy65DfBBRZsAFE6pQsHAnIc~tplv-tiktokx-origin.image?dr=9636&amp;x-expires=1757631600&amp;x-signature=I5ZCfWOt58m4Lr8bUoPJsHu8Nmc%3D&amp;t=4d5b0474&amp;ps=13740610&amp;shp=81f88b70&amp;shcp=43f4a2f9&amp;idc=useast8</t>
  </si>
  <si>
    <t>Playing basketball in a skims dress lul</t>
  </si>
  <si>
    <t>Ig: aroomikimkr X:aroomikim</t>
  </si>
  <si>
    <t>https://www.tiktok.com/@aroomikim</t>
  </si>
  <si>
    <t>Aroomikim</t>
  </si>
  <si>
    <t>aroomikim</t>
  </si>
  <si>
    <t>6831707632907453441</t>
  </si>
  <si>
    <r>
      <rPr>
        <u/>
        <sz val="12"/>
        <color rgb="FF1155CC"/>
        <rFont val="Calibri"/>
        <family val="2"/>
        <scheme val="minor"/>
      </rPr>
      <t>https://www.tiktok.com/@aimeejaihall/video/7395631641093229841</t>
    </r>
  </si>
  <si>
    <t>audios💌</t>
  </si>
  <si>
    <t>superstar</t>
  </si>
  <si>
    <t>https://p16-common-sign-sg.tiktokcdn-us.com/tos-alisg-p-0037/13932e7234bb4205a0d91a4b2ab7412e_1721929682~tplv-tiktokx-origin.image?dr=9636&amp;x-expires=1757631600&amp;x-signature=vwzHyAwxN3DL0HguZejwxaDfc3c%3D&amp;t=4d5b0474&amp;ps=13740610&amp;shp=81f88b70&amp;shcp=43f4a2f9&amp;idc=useast8</t>
  </si>
  <si>
    <t>I LOVE YOU @SKIMS 🫶🏼 #fyp</t>
  </si>
  <si>
    <t>🇬🇧🇹🇭 💌 aimee@friendsinreality.com Launching soon!! -&gt; @JAI 📍 Thailand / LA</t>
  </si>
  <si>
    <t>https://www.tiktok.com/@aimeejaihall</t>
  </si>
  <si>
    <t>aimee</t>
  </si>
  <si>
    <t>aimeejaihall</t>
  </si>
  <si>
    <t>6622715634617696261</t>
  </si>
  <si>
    <r>
      <rPr>
        <u/>
        <sz val="12"/>
        <color rgb="FF1155CC"/>
        <rFont val="Calibri"/>
        <family val="2"/>
        <scheme val="minor"/>
      </rPr>
      <t>https://www.tiktok.com/@ivyangst/video/7511494357854260522</t>
    </r>
  </si>
  <si>
    <t>D4M $loan</t>
  </si>
  <si>
    <t>Swagg Talk</t>
  </si>
  <si>
    <t>https://p16-sign.tiktokcdn-us.com/tos-useast5-p-0068-tx/oUVHeAiHiSBunEQoBPFfDBgSrMjh3qIiR9DxEc~tplv-tiktokx-origin.image?dr=9636&amp;x-expires=1757631600&amp;x-signature=B37cIYA3%2FxZ2fFNQj5xtFFYnEC4%3D&amp;t=4d5b0474&amp;ps=13740610&amp;shp=81f88b70&amp;shcp=43f4a2f9&amp;idc=useast8</t>
  </si>
  <si>
    <t>I love this skims bodysuit #ootd #fyp #fypシ</t>
  </si>
  <si>
    <t>Ivy Angst 💚Umiami🧡 📧ivyangstbiz@gmail.com</t>
  </si>
  <si>
    <t>https://www.tiktok.com/@ivyangst</t>
  </si>
  <si>
    <t>Ivy</t>
  </si>
  <si>
    <t>ivyangst</t>
  </si>
  <si>
    <t>7190765100973982763</t>
  </si>
  <si>
    <r>
      <rPr>
        <u/>
        <sz val="12"/>
        <color rgb="FF1155CC"/>
        <rFont val="Calibri"/>
        <family val="2"/>
        <scheme val="minor"/>
      </rPr>
      <t>https://www.tiktok.com/@hunililyy/video/7284743903217978670</t>
    </r>
  </si>
  <si>
    <t>SupaGuts</t>
  </si>
  <si>
    <t>https://p19-pu-sign-useast8.tiktokcdn-us.com/tos-useast5-p-0068-tx/osWKnySANAA7AqzNCAGY3yIwFfIgEj2mxphEBQ~tplv-tiktokx-origin.image?dr=9636&amp;x-expires=1757631600&amp;x-signature=pFmBU5hXZZ5Rkmn24QoeVZXFL7Y%3D&amp;t=4d5b0474&amp;ps=13740610&amp;shp=81f88b70&amp;shcp=43f4a2f9&amp;idc=useast8</t>
  </si>
  <si>
    <t>gothic barista that goofs around too much lG: heartstamp101</t>
  </si>
  <si>
    <t>https://www.tiktok.com/@hunililyy</t>
  </si>
  <si>
    <t>huni</t>
  </si>
  <si>
    <t>hunililyy</t>
  </si>
  <si>
    <r>
      <rPr>
        <u/>
        <sz val="12"/>
        <color rgb="FF1155CC"/>
        <rFont val="Calibri"/>
        <family val="2"/>
        <scheme val="minor"/>
      </rPr>
      <t>https://www.tiktok.com/@aimeejaihall/video/7450937521803922696</t>
    </r>
  </si>
  <si>
    <t>nadia</t>
  </si>
  <si>
    <t>after hours</t>
  </si>
  <si>
    <t>https://p16-common-sign-sg.tiktokcdn-us.com/tos-alisg-p-0037/oQYsBfxcCiCKIDDh0AzwiB4nEDI4AALpBAnAZi~tplv-tiktokx-origin.image?dr=9636&amp;x-expires=1757631600&amp;x-signature=8cR8zaC4WqOm2FJVj1T2S5SCKWA%3D&amp;t=4d5b0474&amp;ps=13740610&amp;shp=81f88b70&amp;shcp=43f4a2f9&amp;idc=useast8</t>
  </si>
  <si>
    <t>@SKIMS #fyp</t>
  </si>
  <si>
    <t>7288869478287934507</t>
  </si>
  <si>
    <r>
      <rPr>
        <u/>
        <sz val="12"/>
        <color rgb="FF1155CC"/>
        <rFont val="Calibri"/>
        <family val="2"/>
        <scheme val="minor"/>
      </rPr>
      <t>https://www.tiktok.com/@jasmineetaay/video/7505224037224877358</t>
    </r>
  </si>
  <si>
    <t>Sped up songs</t>
  </si>
  <si>
    <t>https://p16-sign.tiktokcdn-us.com/tos-useast5-p-0068-tx/oUBMAPhvI0iAspBAA3Bn6oifCa5EwA1ECR6qIC~tplv-tiktokx-origin.image?dr=9636&amp;x-expires=1757631600&amp;x-signature=H0ArfBrwYP77EjyL8de89Eduhio%3D&amp;t=4d5b0474&amp;ps=13740610&amp;shp=81f88b70&amp;shcp=43f4a2f9&amp;idc=useast8</t>
  </si>
  <si>
    <t>It’s giving skims #walmartpartner #walmartfashion #walmarthaul #skimsdupe #summerclothes #walmartfinds #creatorsearchinsights #fyp</t>
  </si>
  <si>
    <t>A little bit of everything</t>
  </si>
  <si>
    <t>https://www.tiktok.com/@jasmineetaay</t>
  </si>
  <si>
    <t>Jasmine | GirlMomX2 | RN</t>
  </si>
  <si>
    <t>jasmineetaay</t>
  </si>
  <si>
    <t>6773261886143546374</t>
  </si>
  <si>
    <r>
      <rPr>
        <u/>
        <sz val="12"/>
        <color rgb="FF1155CC"/>
        <rFont val="Calibri"/>
        <family val="2"/>
        <scheme val="minor"/>
      </rPr>
      <t>https://www.tiktok.com/@lilynicolesayre/video/7547977881901616406</t>
    </r>
  </si>
  <si>
    <t>nickharris</t>
  </si>
  <si>
    <t>https://p16-common-sign-no.tiktokcdn-us.com/tos-no1a-p-0037-no/o4GDGuGmfr5evYcAfAU3Q0NIOAPLgRikWgAAeb~tplv-tiktokx-origin.image?dr=9636&amp;x-expires=1757631600&amp;x-signature=4zpGlj3JOc7H5GK69vdYy4KssTE%3D&amp;t=4d5b0474&amp;ps=13740610&amp;shp=81f88b70&amp;shcp=43f4a2f9&amp;idc=useast8</t>
  </si>
  <si>
    <t>the content just keeps coming, wearing my fave @SKIMS #microinfluencertiktok #traveltiktok #influencer #skims</t>
  </si>
  <si>
    <t>yeeee haww howdy welcome i love pickles wbu 💌contact@liloulikes.co.uk</t>
  </si>
  <si>
    <t>https://www.tiktok.com/@lilynicolesayre</t>
  </si>
  <si>
    <t>lily sayre</t>
  </si>
  <si>
    <t>lilynicolesayre</t>
  </si>
  <si>
    <t>6774551758225589254</t>
  </si>
  <si>
    <r>
      <rPr>
        <u/>
        <sz val="12"/>
        <color rgb="FF1155CC"/>
        <rFont val="Calibri"/>
        <family val="2"/>
        <scheme val="minor"/>
      </rPr>
      <t>https://www.tiktok.com/@daayylaan/video/7264385064442629418</t>
    </r>
  </si>
  <si>
    <t>Sexyy Red</t>
  </si>
  <si>
    <t>Looking For The Hoes (Ain’t My Fault)</t>
  </si>
  <si>
    <t>https://p19-pu-sign-useast8.tiktokcdn-us.com/tos-useast5-p-0068-tx/dc2c69bc87304b56834828ec416d0047_1691371467~tplv-tiktokx-origin.image?dr=9636&amp;x-expires=1757631600&amp;x-signature=lE4a33OUk%2FGutFaHNcSL1tdB37Y%3D&amp;t=4d5b0474&amp;ps=13740610&amp;shp=81f88b70&amp;shcp=43f4a2f9&amp;idc=useast8</t>
  </si>
  <si>
    <t>Someone tell skims to sponsor me 🥺🫶🏾 #iloveskims #fyp @SKIMS</t>
  </si>
  <si>
    <t>26 || LA 🌴 900k? 🥺👉🏽👈🏽 Business Inquires💌: Daylancollaborations@gmail.com</t>
  </si>
  <si>
    <t>https://www.tiktok.com/@daayylaan</t>
  </si>
  <si>
    <t>Daayylaan</t>
  </si>
  <si>
    <t>daayylaan</t>
  </si>
  <si>
    <t>7281053798737871877</t>
  </si>
  <si>
    <r>
      <rPr>
        <u/>
        <sz val="12"/>
        <color rgb="FF1155CC"/>
        <rFont val="Calibri"/>
        <family val="2"/>
        <scheme val="minor"/>
      </rPr>
      <t>https://www.tiktok.com/@mina.avzl/video/7548197001062649106</t>
    </r>
  </si>
  <si>
    <t>https://p16-common-sign-sg.tiktokcdn-us.com/tos-alisg-p-0037/o8mIw8SBeAejMOCgEz5QAnCoKDgXQjhRRzpHZe~tplv-tiktokx-origin.image?dr=9636&amp;x-expires=1757631600&amp;x-signature=0JJZOdMS6lHfJmmvIdhd7YGkHEs%3D&amp;t=4d5b0474&amp;ps=13740610&amp;shp=81f88b70&amp;shcp=43f4a2f9&amp;idc=useast8</t>
  </si>
  <si>
    <t>@SKIMS Skims Seamless Sculpt Bralette in Clay #skims #skimsbra #skimsbralette #skimshaul</t>
  </si>
  <si>
    <t>🇨🇦</t>
  </si>
  <si>
    <t>https://www.tiktok.com/@mina.avzl</t>
  </si>
  <si>
    <t>Mina</t>
  </si>
  <si>
    <t>mina.avzl</t>
  </si>
  <si>
    <t>7005965293199049733</t>
  </si>
  <si>
    <r>
      <rPr>
        <u/>
        <sz val="12"/>
        <color rgb="FF1155CC"/>
        <rFont val="Calibri"/>
        <family val="2"/>
        <scheme val="minor"/>
      </rPr>
      <t>https://www.tiktok.com/@elizabrowne/video/7452130061169282336</t>
    </r>
  </si>
  <si>
    <t>didi ⋆˚ 𝜗𝜚˚⋆</t>
  </si>
  <si>
    <t>https://p16-common-sign-useast2a.tiktokcdn-us.com/tos-useast2a-p-0037-euttp/oYdsYvBaIEuI4qrD0SnErDNBaIEuPfdfQAFFtR~tplv-tiktokx-origin.image?dr=9636&amp;x-expires=1757631600&amp;x-signature=QyHpEOtTGl6JPb8RWN5ku706ifw%3D&amp;t=4d5b0474&amp;ps=13740610&amp;shp=81f88b70&amp;shcp=43f4a2f9&amp;idc=useast8</t>
  </si>
  <si>
    <t>@SKIMS top @Alo Yoga leggings</t>
  </si>
  <si>
    <t>eliza@cadence-talent.com she/her british</t>
  </si>
  <si>
    <t>https://www.tiktok.com/@elizabrowne</t>
  </si>
  <si>
    <t>eliza</t>
  </si>
  <si>
    <t>elizabrowne</t>
  </si>
  <si>
    <t>6962185449620423685</t>
  </si>
  <si>
    <r>
      <rPr>
        <u/>
        <sz val="12"/>
        <color rgb="FF1155CC"/>
        <rFont val="Calibri"/>
        <family val="2"/>
        <scheme val="minor"/>
      </rPr>
      <t>https://www.tiktok.com/@melrobbins/video/7544030855983893815</t>
    </r>
  </si>
  <si>
    <t>Mel Robbins</t>
  </si>
  <si>
    <t>https://p16-sign.tiktokcdn-us.com/tos-useast5-p-0068-tx/oEgsDfoIEEESQEkuwFogFB2jIfRcAhOG9Dx2Ap~tplv-tiktokx-origin.image?dr=9636&amp;x-expires=1757631600&amp;x-signature=lFVCp0Aph8%2Fab3zub57Sig1WC6g%3D&amp;t=4d5b0474&amp;ps=13740610&amp;shp=81f88b70&amp;shcp=43f4a2f9&amp;idc=useast8</t>
  </si>
  <si>
    <t>@Emma Grede, founding partner of SKIMS, cofounder &amp; CEO of Good American, and host of @Aspire with Emma Grede, said something in our conversation that I can’t stop thinking about: How you do anything is how you do everything. Excellence isn’t about the big moments. It’s about how you show up in the small ones. Stop waiting for the “big break.” Be excellent where you are right now. That’s how doors open. This episode of The Mel Robbins Podcast is the most motivational conversation I’ve ever recorded. This episode of The Mel Robbins Podcast is out now! 🎧 “If You Only Listen to One Podcast Today, Make It This One.” #melrobbinspodcast #melrobbins #excellence #motivation #womeninbusiness</t>
  </si>
  <si>
    <t>Author, Podcaster, Friend 💚 The LET THEM Theory 🎧 The Mel Robbins Podcast</t>
  </si>
  <si>
    <t>https://www.tiktok.com/@melrobbins</t>
  </si>
  <si>
    <t>melrobbins</t>
  </si>
  <si>
    <t>7283195350390621226</t>
  </si>
  <si>
    <r>
      <rPr>
        <u/>
        <sz val="12"/>
        <color rgb="FF1155CC"/>
        <rFont val="Calibri"/>
        <family val="2"/>
        <scheme val="minor"/>
      </rPr>
      <t>https://www.tiktok.com/@tommycratic/video/7527285867413605646</t>
    </r>
  </si>
  <si>
    <t>ًchris</t>
  </si>
  <si>
    <t>https://p16-sign.tiktokcdn-us.com/tos-useast5-p-0068-tx/oct7kGXgssLJHfPeIAdZQkQ9KHjZ7Af4IgQCML~tplv-tiktokx-origin.image?dr=9636&amp;x-expires=1757631600&amp;x-signature=jKtcZuoRyPT742m0vVHBV3%2FnXR4%3D&amp;t=4d5b0474&amp;ps=13740610&amp;shp=81f88b70&amp;shcp=43f4a2f9&amp;idc=useast8</t>
  </si>
  <si>
    <t>comfiest clothes ever #ootd #mlm #fitcheck</t>
  </si>
  <si>
    <t>🧢 home of the tommycrats 🔥 x is better: tommycrat insta: tommycrat</t>
  </si>
  <si>
    <t>https://www.tiktok.com/@tommycratic</t>
  </si>
  <si>
    <t>TOMMY WEST</t>
  </si>
  <si>
    <t>tommycratic</t>
  </si>
  <si>
    <t>6727815186659525638</t>
  </si>
  <si>
    <r>
      <rPr>
        <u/>
        <sz val="12"/>
        <color rgb="FF1155CC"/>
        <rFont val="Calibri"/>
        <family val="2"/>
        <scheme val="minor"/>
      </rPr>
      <t>https://www.tiktok.com/@cocosamone/video/7509163664042298670</t>
    </r>
  </si>
  <si>
    <t>https://p16-sign.tiktokcdn-us.com/tos-useast5-p-0068-tx/o40vXFgIEQBIAcaEerfj0ADAjAUcQDk1HAeYE0~tplv-tiktokx-origin.image?dr=9636&amp;x-expires=1757631600&amp;x-signature=hrJukEFgAN8zkcNHBVb1v6jIsnI%3D&amp;t=4d5b0474&amp;ps=13740610&amp;shp=81f88b70&amp;shcp=43f4a2f9&amp;idc=useast8</t>
  </si>
  <si>
    <t>i'm sick😭 just pack up the whole store, i'll take one of everything😒. #fypシ #skims @SKIMS #tryonhaul #foryoupagе #skimstryon</t>
  </si>
  <si>
    <t>wilhelmina models business inquiries: hausofsos@icloud.com instagram: cocosamone</t>
  </si>
  <si>
    <t>https://www.tiktok.com/@cocosamone</t>
  </si>
  <si>
    <t>cocosamone</t>
  </si>
  <si>
    <t>6896554609269359618</t>
  </si>
  <si>
    <r>
      <rPr>
        <u/>
        <sz val="12"/>
        <color rgb="FF1155CC"/>
        <rFont val="Calibri"/>
        <family val="2"/>
        <scheme val="minor"/>
      </rPr>
      <t>https://www.tiktok.com/@maia_andrews/video/7546977227511041302</t>
    </r>
  </si>
  <si>
    <t>Maia Andrews</t>
  </si>
  <si>
    <t>https://p16-common-sign-no.tiktokcdn-us.com/tos-no1a-p-0037-no/oE6RW8bQfAAPEzRR7Tfew8Wm5AQmkGM7iBgGfW~tplv-tiktokx-origin.image?dr=9636&amp;x-expires=1757631600&amp;x-signature=pVRejFFIcEE8GxTTTLAtXNKlZP4%3D&amp;t=4d5b0474&amp;ps=13740610&amp;shp=81f88b70&amp;shcp=43f4a2f9&amp;idc=useast8</t>
  </si>
  <si>
    <t>yay or nay? 🫣🍒 #skims #skimsscoopbralette #smallbandlargercup #smallbandlargecup #fullerbustfashion</t>
  </si>
  <si>
    <t>for the girlies 🍒 josie@wmgmt.co.uk shop my outfits ⬇️</t>
  </si>
  <si>
    <t>https://www.tiktok.com/@maia_andrews</t>
  </si>
  <si>
    <t>maia_andrews</t>
  </si>
  <si>
    <t>6906796852366377990</t>
  </si>
  <si>
    <r>
      <rPr>
        <u/>
        <sz val="12"/>
        <color rgb="FF1155CC"/>
        <rFont val="Calibri"/>
        <family val="2"/>
        <scheme val="minor"/>
      </rPr>
      <t>https://www.tiktok.com/@lovealwayspiper/video/7469939167422827822</t>
    </r>
  </si>
  <si>
    <t>Cody Lawless &amp; Elijah Blond</t>
  </si>
  <si>
    <t>Willy Wishbone</t>
  </si>
  <si>
    <t>https://p19-pu-sign-useast8.tiktokcdn-us.com/tos-useast5-p-0068-tx/o0kjqAJPRkA67EIPCVFfHEAWRj2AxZEbjADeIe~tplv-tiktokx-origin.image?dr=9636&amp;x-expires=1757631600&amp;x-signature=NPUoR8KhoHo1AYu2uaWUGIgU8Rc%3D&amp;t=4d5b0474&amp;ps=13740610&amp;shp=81f88b70&amp;shcp=43f4a2f9&amp;idc=useast8</t>
  </si>
  <si>
    <t>i might have a problem ts is not cheap🙂‍↕️</t>
  </si>
  <si>
    <t>Love u the most 👻piperrockelle</t>
  </si>
  <si>
    <t>https://www.tiktok.com/@lovealwayspiper</t>
  </si>
  <si>
    <t>Piper</t>
  </si>
  <si>
    <t>lovealwayspiper</t>
  </si>
  <si>
    <t>6769327132621767685</t>
  </si>
  <si>
    <r>
      <rPr>
        <u/>
        <sz val="12"/>
        <color rgb="FF1155CC"/>
        <rFont val="Calibri"/>
        <family val="2"/>
        <scheme val="minor"/>
      </rPr>
      <t>https://www.tiktok.com/@hannahleelifestyle/video/7281336747609476398</t>
    </r>
  </si>
  <si>
    <t>Hannah | Plus Size Fashion</t>
  </si>
  <si>
    <t>https://p16-pu-sign-useast8.tiktokcdn-us.com/tos-useast5-p-0068-tx/oQZMIkvXyEpNCNBMgAhf1kAhIJzB0tAkQwt7Tz~tplv-tiktokx-origin.image?dr=9636&amp;x-expires=1757631600&amp;x-signature=rEAfc6rZVpG0z4Un2nE2kbJGcJI%3D&amp;t=4d5b0474&amp;ps=13740610&amp;shp=81f88b70&amp;shcp=43f4a2f9&amp;idc=useast5</t>
  </si>
  <si>
    <t>Find these where the links live 😉 #gifted #skims #skimstryon #skimsmusthave @SKIMS #plussizeskimsreview #plussizefashion</t>
  </si>
  <si>
    <t>Plus Size Fashion•Self love Zoe@hannahleelifestyle.com SF-ish📍 ⬇️</t>
  </si>
  <si>
    <t>https://www.tiktok.com/@hannahleelifestyle</t>
  </si>
  <si>
    <t>hannahleelifestyle</t>
  </si>
  <si>
    <t>6911954099761349637</t>
  </si>
  <si>
    <r>
      <rPr>
        <u/>
        <sz val="12"/>
        <color rgb="FF1155CC"/>
        <rFont val="Calibri"/>
        <family val="2"/>
        <scheme val="minor"/>
      </rPr>
      <t>https://www.tiktok.com/@abbyastin/video/7542909931582786829</t>
    </r>
  </si>
  <si>
    <t>︎ ︎ ︎</t>
  </si>
  <si>
    <t>https://p19-sign.tiktokcdn-us.com/tos-useast5-p-0068-tx/oASYrpIRGE7fEz7DEocgyzD7FifAACOACIstAj~tplv-tiktokx-origin.image?dr=9636&amp;x-expires=1757631600&amp;x-signature=WXrwZAaBrO8aSV826EzE1DQiUoU%3D&amp;t=4d5b0474&amp;ps=13740610&amp;shp=81f88b70&amp;shcp=43f4a2f9&amp;idc=useast8</t>
  </si>
  <si>
    <t>@SKIMS best set ever</t>
  </si>
  <si>
    <t>18 vlogging you rn 💌abigail.creator@gmail.com</t>
  </si>
  <si>
    <t>https://www.tiktok.com/@abbyastin</t>
  </si>
  <si>
    <t>abby</t>
  </si>
  <si>
    <t>abbyastin</t>
  </si>
  <si>
    <t>6672804347422540805</t>
  </si>
  <si>
    <r>
      <rPr>
        <u/>
        <sz val="12"/>
        <color rgb="FF1155CC"/>
        <rFont val="Calibri"/>
        <family val="2"/>
        <scheme val="minor"/>
      </rPr>
      <t>https://www.tiktok.com/@lexielearmann/video/7265058890696494378</t>
    </r>
  </si>
  <si>
    <t>Dave &amp; Central Cee</t>
  </si>
  <si>
    <t>Sprinter - Central Cee Verse / Short</t>
  </si>
  <si>
    <t>https://p16-pu-sign-useast8.tiktokcdn-us.com/tos-useast5-p-0068-tx/owhnAbBtnDjkecPEPSDrqXEJ0BSI4e3gDtRgvA~tplv-tiktokx-dmt-logom:tos-useast5-i-0068-tx/82f84143b8654490b838d58e4a23a2d0.image?dr=9634&amp;x-expires=1757631600&amp;x-signature=66C160LE5om3038ZGgxQhaI54Ik%3D&amp;t=4d5b0474&amp;ps=13740610&amp;shp=81f88b70&amp;shcp=43f4a2f9&amp;idc=useast8</t>
  </si>
  <si>
    <t>This @SKIMS dress 😩 #fyp</t>
  </si>
  <si>
    <t>You Got This🤍 Lifestyle | Health &amp; Wellness 💌links and more ↓</t>
  </si>
  <si>
    <t>https://www.tiktok.com/@lexielearmann</t>
  </si>
  <si>
    <t>LexieLearmann</t>
  </si>
  <si>
    <t>lexielearmann</t>
  </si>
  <si>
    <r>
      <rPr>
        <u/>
        <sz val="12"/>
        <color rgb="FF1155CC"/>
        <rFont val="Calibri"/>
        <family val="2"/>
        <scheme val="minor"/>
      </rPr>
      <t>https://www.tiktok.com/@skims/video/7474771093094419758</t>
    </r>
  </si>
  <si>
    <t>prodbycpkshawn</t>
  </si>
  <si>
    <t>Pop like this Pt. 2 (Sped Up)</t>
  </si>
  <si>
    <t>https://p19-sign.tiktokcdn-us.com/tos-useast5-p-0068-tx/oYkn0BA73vuEJuIZ4AuVABgJii06h4AANEC7m~tplv-tiktokx-origin.image?dr=9636&amp;x-expires=1757631600&amp;x-signature=d%2BYDi23jRDsJCwddTkoF9Q1HVFw%3D&amp;t=4d5b0474&amp;ps=13740610&amp;shp=81f88b70&amp;shcp=43f4a2f9&amp;idc=useast8</t>
  </si>
  <si>
    <t>@aimee in the skims ultimate push-up bodysuit.</t>
  </si>
  <si>
    <t>6776044929316865029</t>
  </si>
  <si>
    <r>
      <rPr>
        <u/>
        <sz val="12"/>
        <color rgb="FF1155CC"/>
        <rFont val="Calibri"/>
        <family val="2"/>
        <scheme val="minor"/>
      </rPr>
      <t>https://www.tiktok.com/@dijonaicarrington/video/7409344815579532587</t>
    </r>
  </si>
  <si>
    <t>Latto</t>
  </si>
  <si>
    <t>Brokey</t>
  </si>
  <si>
    <t>https://p19-pu-sign-useast8.tiktokcdn-us.com/tos-useast5-p-0068-tx/c3bf68f4175d46ee9f181992215488f2_1725122529~tplv-tiktokx-origin.image?dr=9636&amp;x-expires=1757631600&amp;x-signature=72%2FtIoqzlozb3SOhff4DxpRuSjo%3D&amp;t=4d5b0474&amp;ps=13740610&amp;shp=81f88b70&amp;shcp=43f4a2f9&amp;idc=useast8</t>
  </si>
  <si>
    <t>gamedayyy tikkyyy❤️ in my @SKIMS set 😘 #fyp #wnba #gameday #dijonaicarrington #skims</t>
  </si>
  <si>
    <t>Daygo Stanford ‘20 WNBA🏀 📧: thorton@excelsm.com IG: @dijonai</t>
  </si>
  <si>
    <t>https://www.tiktok.com/@dijonaicarrington</t>
  </si>
  <si>
    <t>DiJonai Carrington</t>
  </si>
  <si>
    <t>dijonaicarrington</t>
  </si>
  <si>
    <t>7199520130753217582</t>
  </si>
  <si>
    <r>
      <rPr>
        <u/>
        <sz val="12"/>
        <color rgb="FF1155CC"/>
        <rFont val="Calibri"/>
        <family val="2"/>
        <scheme val="minor"/>
      </rPr>
      <t>https://www.tiktok.com/@aleynaariana/video/7547084856941890871</t>
    </r>
  </si>
  <si>
    <t>Justin Bieber</t>
  </si>
  <si>
    <t>SPEED DEMON</t>
  </si>
  <si>
    <t>https://p19-pu-sign-useast8.tiktokcdn-us.com/tos-useast5-p-0068-tx/oY8mD6AjEinw18ABlo0C8BcBXIn2JRAfwAciCI~tplv-tiktokx-origin.image?dr=9636&amp;x-expires=1757631600&amp;x-signature=YrLdvxkFxAArs7zy098mj3RdPOg%3D&amp;t=4d5b0474&amp;ps=13740610&amp;shp=81f88b70&amp;shcp=43f4a2f9&amp;idc=useast8</t>
  </si>
  <si>
    <t>fav store 💗 @SKIMS @Kim Kardashian #skims #skimsstore #skimshaul #kimkardashian #kardashians</t>
  </si>
  <si>
    <t>♡ 24 ♡ 💌aleynaerzu123@gmail.com insta: @aleynaariana</t>
  </si>
  <si>
    <t>https://www.tiktok.com/@aleynaariana</t>
  </si>
  <si>
    <t>Aleyna Ariana🤍</t>
  </si>
  <si>
    <t>aleynaariana</t>
  </si>
  <si>
    <t>6792334091992876038</t>
  </si>
  <si>
    <r>
      <rPr>
        <u/>
        <sz val="12"/>
        <color rgb="FF1155CC"/>
        <rFont val="Calibri"/>
        <family val="2"/>
        <scheme val="minor"/>
      </rPr>
      <t>https://www.tiktok.com/@kitcatt13/video/7505899964254424351</t>
    </r>
  </si>
  <si>
    <t>Cat | The Discount Diva ✨</t>
  </si>
  <si>
    <t>https://p16-pu-sign-useast8.tiktokcdn-us.com/tos-useast8-p-0068-tx2/oA07Ul9CDIMEiqjBASFBVORBeBfGoxEEEOAqEK~tplv-tiktokx-origin.image?dr=9636&amp;x-expires=1757631600&amp;x-signature=7KsnnTUrgTKXYn3TqRdSSAE8EEE%3D&amp;t=4d5b0474&amp;ps=13740610&amp;shp=81f88b70&amp;shcp=43f4a2f9&amp;idc=useast8</t>
  </si>
  <si>
    <t>Butter melt Glaze Soft Glow Skim Tint with SPF 30 @NYX Professional Makeup #nyxcosmeticspartner #skintint #spf30 #makeup</t>
  </si>
  <si>
    <t>YT: CatDiscountDiva 📧: catdiscountdiva@yahoo.com</t>
  </si>
  <si>
    <t>https://www.tiktok.com/@kitcatt13</t>
  </si>
  <si>
    <t>kitcatt13</t>
  </si>
  <si>
    <t>6784977603536438277</t>
  </si>
  <si>
    <r>
      <rPr>
        <u/>
        <sz val="12"/>
        <color rgb="FF1155CC"/>
        <rFont val="Calibri"/>
        <family val="2"/>
        <scheme val="minor"/>
      </rPr>
      <t>https://www.tiktok.com/@callahanrahm/video/7544531218637933838</t>
    </r>
  </si>
  <si>
    <t>Callahan Rahm</t>
  </si>
  <si>
    <t>https://p19-pu-sign-useast8.tiktokcdn-us.com/tos-useast5-p-0068-tx/oQgBRZ07DjIzi4HCicAy1IIBzw8pWcPAjNfb16~tplv-tiktokx-dmt-logom:tos-useast5-i-0068-tx/o0CsSEmIBR1e4Cjmgif0A3AAViH7AoDEG6jRtz.image?dr=9634&amp;x-expires=1757631600&amp;x-signature=IbKpMW1f%2BHKF85t%2Fh0lkmP6TPKw%3D&amp;t=4d5b0474&amp;ps=13740610&amp;shp=81f88b70&amp;shcp=43f4a2f9&amp;idc=useast8</t>
  </si>
  <si>
    <t>@SKIMS coming in clutch with the high quality basics 🩷 all will be over on my shopmy 🫶🏼 #skimshaul #skims #basics</t>
  </si>
  <si>
    <t>brand inquiries 💌 callahanxrahm@gmail.com amazon links ↓</t>
  </si>
  <si>
    <t>https://www.tiktok.com/@callahanrahm</t>
  </si>
  <si>
    <t>callahanrahm</t>
  </si>
  <si>
    <t>6753044883286459397</t>
  </si>
  <si>
    <r>
      <rPr>
        <u/>
        <sz val="12"/>
        <color rgb="FF1155CC"/>
        <rFont val="Calibri"/>
        <family val="2"/>
        <scheme val="minor"/>
      </rPr>
      <t>https://www.tiktok.com/@melaniemhasson/video/7543030039655353613</t>
    </r>
  </si>
  <si>
    <t>manda</t>
  </si>
  <si>
    <t>original sound - manda</t>
  </si>
  <si>
    <t>https://p16-pu-sign-useast8.tiktokcdn-us.com/tos-useast5-p-0068-tx/oUh0O0cufAA4C8BKCgOuwIIwmiI2xVAQKpiIBu~tplv-tiktokx-origin.image?dr=9636&amp;x-expires=1757631600&amp;x-signature=EEaeuhmOZ1yD2C1Gh%2Fakfalferg%3D&amp;t=4d5b0474&amp;ps=13740610&amp;shp=81f88b70&amp;shcp=43f4a2f9&amp;idc=useast8</t>
  </si>
  <si>
    <t>Putting on the @Khy by Kylie Jenner latex dress is not for the weak. Wearing @SKIMS shapewear underneath @Kylie Jenner @LexRuggiero #khy #skims #latexdress #khy #khylatexdress</t>
  </si>
  <si>
    <t>New York ❤️‍🔥 low maintenance // 𝘩𝘪𝘨𝘩 𝘴𝘵𝘢𝘯𝘥𝘢𝘳𝘥𝘴 melanie@beachwavesandbalayage.com</t>
  </si>
  <si>
    <t>https://www.tiktok.com/@melaniemhasson</t>
  </si>
  <si>
    <t>Melanie | New York Hairstylist</t>
  </si>
  <si>
    <t>melaniemhasson</t>
  </si>
  <si>
    <t>6532017498219347969</t>
  </si>
  <si>
    <r>
      <rPr>
        <u/>
        <sz val="12"/>
        <color rgb="FF1155CC"/>
        <rFont val="Calibri"/>
        <family val="2"/>
        <scheme val="minor"/>
      </rPr>
      <t>https://www.tiktok.com/@maimelconian/video/7545955069024275767</t>
    </r>
  </si>
  <si>
    <t>ANDROMEDA &amp; elysian.</t>
  </si>
  <si>
    <t>MONTAGEM COMA</t>
  </si>
  <si>
    <t>https://p19-pu-sign-useast8.tiktokcdn-us.com/tos-useast5-p-0068-tx/ooYGAvkABBS0iHICF4inEcEkXApIZtSwyJIYeA~tplv-tiktokx-origin.image?dr=9636&amp;x-expires=1757631600&amp;x-signature=67WRj%2B4PunSe8RFMzED6GEFaVFg%3D&amp;t=4d5b0474&amp;ps=13740610&amp;shp=81f88b70&amp;shcp=43f4a2f9&amp;idc=useast8</t>
  </si>
  <si>
    <t>🧡 @SKIMS #dress</t>
  </si>
  <si>
    <t>Uruguaya🇺🇾 MIA📍 IG: maimelconian</t>
  </si>
  <si>
    <t>https://www.tiktok.com/@maimelconian</t>
  </si>
  <si>
    <t>maimelconian</t>
  </si>
  <si>
    <t>7133752584623473707</t>
  </si>
  <si>
    <r>
      <rPr>
        <u/>
        <sz val="12"/>
        <color rgb="FF1155CC"/>
        <rFont val="Calibri"/>
        <family val="2"/>
        <scheme val="minor"/>
      </rPr>
      <t>https://www.tiktok.com/@kashxdoutdes/video/7519534765049908493</t>
    </r>
  </si>
  <si>
    <t>Leah😋</t>
  </si>
  <si>
    <t>https://p19-pu-sign-useast8.tiktokcdn-us.com/tos-useast5-p-0068-tx/ostaVfgIERDAWSDFs9BgdowB7KODREEJIAUjfB~tplv-tiktokx-origin.image?dr=9636&amp;x-expires=1757631600&amp;x-signature=akgVUKoSiw8lCWh%2FMpObAAtr5UQ%3D&amp;t=4d5b0474&amp;ps=13740610&amp;shp=81f88b70&amp;shcp=43f4a2f9&amp;idc=useast8</t>
  </si>
  <si>
    <t>Replying to @marci🫀 What color suits me best? #fyp #zyxcba #foryouuuuuuuuuuuuu #skims #skimsreview #skimshaul #contentcreator #skimsblackgirl</t>
  </si>
  <si>
    <t>18 @LOCINWMARCY 📮: kashxdoutdes@gmail.com</t>
  </si>
  <si>
    <t>https://www.tiktok.com/@kashxdoutdes</t>
  </si>
  <si>
    <t>marci🫀</t>
  </si>
  <si>
    <t>kashxdoutdes</t>
  </si>
  <si>
    <t>7391571962205963307</t>
  </si>
  <si>
    <r>
      <rPr>
        <u/>
        <sz val="12"/>
        <color rgb="FF1155CC"/>
        <rFont val="Calibri"/>
        <family val="2"/>
        <scheme val="minor"/>
      </rPr>
      <t>https://www.tiktok.com/@.hg.vlogs/video/7547835634157702413</t>
    </r>
  </si>
  <si>
    <t>Leon Thomas</t>
  </si>
  <si>
    <t>MUTT</t>
  </si>
  <si>
    <t>https://p16-pu-sign-useast8.tiktokcdn-us.com/tos-useast5-p-0068-tx/ocLkKa5ifAbCOPvCIFfpNGTFITfeQKyzRUUAIG~tplv-tiktokx-origin.image?dr=9636&amp;x-expires=1757631600&amp;x-signature=kZGNflsmxEAseqDRzi7v2cLYRXE%3D&amp;t=4d5b0474&amp;ps=13740610&amp;shp=81f88b70&amp;shcp=43f4a2f9&amp;idc=useast8</t>
  </si>
  <si>
    <t>Skims 😋 Labor Day Sale 🙂‍↕️ First skims purchase 🤭 ▫️Multi-Way Bra ▫️Soft Lounge Mini Slip Dress #skims#skimshaul#clothes#sale#kimkardashian @SKIMS</t>
  </si>
  <si>
    <t>https://www.tiktok.com/@.hg.vlogs</t>
  </si>
  <si>
    <t>HG Vlogs</t>
  </si>
  <si>
    <t>.hg.vlogs</t>
  </si>
  <si>
    <t>6802654298129630213</t>
  </si>
  <si>
    <r>
      <rPr>
        <u/>
        <sz val="12"/>
        <color rgb="FF1155CC"/>
        <rFont val="Calibri"/>
        <family val="2"/>
        <scheme val="minor"/>
      </rPr>
      <t>https://www.tiktok.com/@mikaylanogueira/video/7535238237212757262</t>
    </r>
  </si>
  <si>
    <t>Mikayla Nogueira</t>
  </si>
  <si>
    <t>https://p19-sign.tiktokcdn-us.com/tos-useast5-p-0068-tx/owAMSLOnZJX1GivFjekCRHI6AkIPHefglRrmgw~tplv-tiktokx-origin.image?dr=9636&amp;x-expires=1757631600&amp;x-signature=bsKObNgG9y9PTuSbfz6Zk%2F8qw7I%3D&amp;t=4d5b0474&amp;ps=13740610&amp;shp=81f88b70&amp;shcp=43f4a2f9&amp;idc=useast8</t>
  </si>
  <si>
    <t>ALL THREE ARE 🔥🔥🔥👌🏻👌🏻 #skims #clothinghaul #tryonhaul #haul #fashion #kimkardashian</t>
  </si>
  <si>
    <t>Makeup Artist | Wife | Pug Mom | Masshole Founder @pointofview</t>
  </si>
  <si>
    <t>https://www.tiktok.com/@mikaylanogueira</t>
  </si>
  <si>
    <t>mikaylanogueira</t>
  </si>
  <si>
    <t>6704423997294527494</t>
  </si>
  <si>
    <r>
      <rPr>
        <u/>
        <sz val="12"/>
        <color rgb="FF1155CC"/>
        <rFont val="Calibri"/>
        <family val="2"/>
        <scheme val="minor"/>
      </rPr>
      <t>https://www.tiktok.com/@ariannavinceslao14/video/7425007448320216350</t>
    </r>
  </si>
  <si>
    <t>Spotify.7483</t>
  </si>
  <si>
    <t>https://p16-pu-sign-useast8.tiktokcdn-us.com/tos-useast8-p-0068-tx2/okZhBfw0CiPqIQ7RkCzAiAHKEJIXA25BEiCH6j~tplv-tiktokx-origin.image?dr=9636&amp;x-expires=1757631600&amp;x-signature=9aRWHH%2B6KfqG%2FJMmCIL9FSVKfps%3D&amp;t=4d5b0474&amp;ps=13740610&amp;shp=81f88b70&amp;shcp=43f4a2f9&amp;idc=useast8</t>
  </si>
  <si>
    <t>😎🤞🏼</t>
  </si>
  <si>
    <t>https://www.tiktok.com/@ariannavinceslao14</t>
  </si>
  <si>
    <t>ariannavinceslao14</t>
  </si>
  <si>
    <t>6649521877457567749</t>
  </si>
  <si>
    <r>
      <rPr>
        <u/>
        <sz val="12"/>
        <color rgb="FF1155CC"/>
        <rFont val="Calibri"/>
        <family val="2"/>
        <scheme val="minor"/>
      </rPr>
      <t>https://www.tiktok.com/@jezlyn.vega/video/7458760536897998123</t>
    </r>
  </si>
  <si>
    <t>Bandido 🥷🏼</t>
  </si>
  <si>
    <t>sonido original</t>
  </si>
  <si>
    <t>https://p16-common-sign-va.tiktokcdn-us.com/tos-maliva-i-e1os8tt47a-us/744541ffcfd945d2a6bef83f9c8a99f6~tplv-tiktokx-origin.image?dr=9636&amp;x-expires=1757631600&amp;x-signature=O7ys8m9tFWkFIgR39yr%2FWnxRFxU%3D&amp;t=4d5b0474&amp;ps=13740610&amp;shp=81f88b70&amp;shcp=43f4a2f9&amp;idc=useast8</t>
  </si>
  <si>
    <t>i ❤️ @SKIMS</t>
  </si>
  <si>
    <t>az</t>
  </si>
  <si>
    <t>https://www.tiktok.com/@jezlyn.vega</t>
  </si>
  <si>
    <t>Jez</t>
  </si>
  <si>
    <t>jezlyn.vega</t>
  </si>
  <si>
    <t>6689980718502740998</t>
  </si>
  <si>
    <r>
      <rPr>
        <u/>
        <sz val="12"/>
        <color rgb="FF1155CC"/>
        <rFont val="Calibri"/>
        <family val="2"/>
        <scheme val="minor"/>
      </rPr>
      <t>https://www.tiktok.com/@sundaykalogeras/video/7466540927478140166</t>
    </r>
  </si>
  <si>
    <t>Mkvid</t>
  </si>
  <si>
    <t>https://p16-common-sign-va.tiktokcdn-us.com/tos-maliva-p-0068/ocA59ne3DQEtS8vtA6FAJNRvvCf8nABIEBQWEn~tplv-tiktokx-origin.image?dr=9636&amp;x-expires=1757631600&amp;x-signature=mIn15mZmD%2Fsnqxwj2XtWCvcUYyg%3D&amp;t=4d5b0474&amp;ps=13740610&amp;shp=81f88b70&amp;shcp=43f4a2f9&amp;idc=useast8</t>
  </si>
  <si>
    <t>POV: Us in our valentines skims fits @demitrakalogeras @Eliana Kalogeras @SKIMS</t>
  </si>
  <si>
    <t>INSTA: sundaykalogeras SNAPCHAT: Kalogerassunday Kalogeras@night.co</t>
  </si>
  <si>
    <t>https://www.tiktok.com/@sundaykalogeras</t>
  </si>
  <si>
    <t>sundaykalogeras</t>
  </si>
  <si>
    <t>6824654185926247430</t>
  </si>
  <si>
    <r>
      <rPr>
        <u/>
        <sz val="12"/>
        <color rgb="FF1155CC"/>
        <rFont val="Calibri"/>
        <family val="2"/>
        <scheme val="minor"/>
      </rPr>
      <t>https://www.tiktok.com/@sneakysteppersavage/video/7474056265019313451</t>
    </r>
  </si>
  <si>
    <t>Skilla Baby</t>
  </si>
  <si>
    <t>Body Bangin</t>
  </si>
  <si>
    <t>https://p19-pu-sign-useast8.tiktokcdn-us.com/tos-useast5-p-0068-tx/ocLAJBZ7k4AtriEAwiuvCoSE7E5AvBkCbgqXI~tplv-tiktokx-origin.image?dr=9636&amp;x-expires=1757631600&amp;x-signature=CBQ1JmKu%2Bkhrjy0fRV%2Bc7ya3%2BrQ%3D&amp;t=4d5b0474&amp;ps=13740610&amp;shp=81f88b70&amp;shcp=43f4a2f9&amp;idc=useast8</t>
  </si>
  <si>
    <t>Skims sets going crazy 😮‍💨 @Nunewb #fyp #clothingline #sneakystepper #fashion #skim</t>
  </si>
  <si>
    <t>Follow me and Add me on Instagram we going global🤫 Sneakystepperclothing_</t>
  </si>
  <si>
    <t>https://www.tiktok.com/@sneakysteppersavage</t>
  </si>
  <si>
    <t>sneakysteppersavage</t>
  </si>
  <si>
    <r>
      <rPr>
        <u/>
        <sz val="12"/>
        <color rgb="FF1155CC"/>
        <rFont val="Calibri"/>
        <family val="2"/>
        <scheme val="minor"/>
      </rPr>
      <t>https://www.tiktok.com/@daayylaan/video/7266527970976730411</t>
    </r>
  </si>
  <si>
    <t>https://p16-sign.tiktokcdn-us.com/tos-useast5-p-0068-tx/oEDjaPQXWfmsuUnZCAbi8fAkBSIsLgw5HerJ5I~tplv-tiktokx-origin.image?dr=9636&amp;x-expires=1757631600&amp;x-signature=VMTItWQeXGWwbGMjEHo6BsFmXxg%3D&amp;t=4d5b0474&amp;ps=13740610&amp;shp=81f88b70&amp;shcp=43f4a2f9&amp;idc=useast8</t>
  </si>
  <si>
    <t>Wearing @SKIMS 24/7 now 😍 #tellthemtosponsorme #fyp #skims</t>
  </si>
  <si>
    <t>7184983128400839723</t>
  </si>
  <si>
    <r>
      <rPr>
        <u/>
        <sz val="12"/>
        <color rgb="FF1155CC"/>
        <rFont val="Calibri"/>
        <family val="2"/>
        <scheme val="minor"/>
      </rPr>
      <t>https://www.tiktok.com/@foxycoupons.com/video/7410541638277254442</t>
    </r>
  </si>
  <si>
    <t>Foxy Coupons</t>
  </si>
  <si>
    <t>https://p19-pu-sign-useast8.tiktokcdn-us.com/tos-useast5-p-0068-tx/97a4425ac38041f99f6cb2f6f4969ea7_1725401187~tplv-tiktokx-dmt-logom:tos-useast5-i-0068-tx/oU9DAhmIXvVDGC3igaSF4fEaFEARDA1erxGxAE.image?dr=9634&amp;x-expires=1757631600&amp;x-signature=CUpFo1kCPifiS7xusRoJP%2BaLWNU%3D&amp;t=4d5b0474&amp;ps=13740610&amp;shp=81f88b70&amp;shcp=43f4a2f9&amp;idc=useast8</t>
  </si>
  <si>
    <t>Get SKIMS promo codes for your next order through Foxy Coupons and start savings BIG on your next order! #SKIMS #promocode #discount #fashiondealsforyou #skimshack #skimscouponcode #skimscode #fallfashion #clothesdiscount #trendingfashion #tiktokfinds #2024</t>
  </si>
  <si>
    <t>🛍Savings &amp; Deals📦 🏷Discounts, Coupons, Promo Codes #️⃣ 👇 Click Link Below 👇</t>
  </si>
  <si>
    <t>https://www.tiktok.com/@foxycoupons.com</t>
  </si>
  <si>
    <t>foxycoupons.com</t>
  </si>
  <si>
    <t>7395068308342883370</t>
  </si>
  <si>
    <r>
      <rPr>
        <u/>
        <sz val="12"/>
        <color rgb="FF1155CC"/>
        <rFont val="Calibri"/>
        <family val="2"/>
        <scheme val="minor"/>
      </rPr>
      <t>https://www.tiktok.com/@kyannamya_/video/7540690509094784269</t>
    </r>
  </si>
  <si>
    <t>audios 🧏🏻‍♀️</t>
  </si>
  <si>
    <t>fancy</t>
  </si>
  <si>
    <t>https://p16-pu-sign-useast8.tiktokcdn-us.com/tos-useast5-p-0068-tx/oYgIXLRY9CUSHHGegefivkRAIiq64SCBBqPAjW~tplv-tiktokx-origin.image?dr=9636&amp;x-expires=1757631600&amp;x-signature=3sm0QZrLMgwMFgjVfcpq5MEWiDo%3D&amp;t=4d5b0474&amp;ps=13740610&amp;shp=81f88b70&amp;shcp=43f4a2f9&amp;idc=useast8</t>
  </si>
  <si>
    <t>loving the pajama sets 🤏🏽 @SKIMS @Nordstrom #skims #skimshaul #fyp #fashion #microinfluencer</t>
  </si>
  <si>
    <t>faith n fashion 🩰 ig kyannamya tampa .☘︎ ݁˖</t>
  </si>
  <si>
    <t>https://www.tiktok.com/@kyannamya_</t>
  </si>
  <si>
    <t>kyanna ♱</t>
  </si>
  <si>
    <t>kyannamya_</t>
  </si>
  <si>
    <t>7372299951142994976</t>
  </si>
  <si>
    <r>
      <rPr>
        <u/>
        <sz val="12"/>
        <color rgb="FF1155CC"/>
        <rFont val="Calibri"/>
        <family val="2"/>
        <scheme val="minor"/>
      </rPr>
      <t>https://www.tiktok.com/@juliamielnicka_/video/7480466266386353430</t>
    </r>
  </si>
  <si>
    <t>HYMN &amp; Slip.stream</t>
  </si>
  <si>
    <t>PLAYOFFS</t>
  </si>
  <si>
    <t>https://p16-pu-sign-no.tiktokcdn-eu.com/tos-no1a-p-0037-no/oUDCELAFpIKlfjCANdIn3RQfhA9EDfQDIHJPyP~tplv-tiktokx-origin.image?dr=10395&amp;x-expires=1757631600&amp;x-signature=hrFmdQYkIWy5tOIt3AG4nIZTkT4%3D&amp;t=4d5b0474&amp;ps=13740610&amp;shp=81f88b70&amp;shcp=43f4a2f9&amp;idc=no1a</t>
  </si>
  <si>
    <t>skims try on! love it 🤍 @SKIMS #skims #skimspartner #SKIMScotton #SKIMSfitseverybody [pr]</t>
  </si>
  <si>
    <t>ig: juliamielnicka_ 💌 mielnickajulia@gmail.com fashion and daily content 🌸</t>
  </si>
  <si>
    <t>https://www.tiktok.com/@juliamielnicka_</t>
  </si>
  <si>
    <t>julia 💫 ig:juliamielnicka_</t>
  </si>
  <si>
    <t>juliamielnicka_</t>
  </si>
  <si>
    <t>6914500399362458630</t>
  </si>
  <si>
    <r>
      <rPr>
        <u/>
        <sz val="12"/>
        <color rgb="FF1155CC"/>
        <rFont val="Calibri"/>
        <family val="2"/>
        <scheme val="minor"/>
      </rPr>
      <t>https://www.tiktok.com/@taylortiminskas/video/7441370663165758751</t>
    </r>
  </si>
  <si>
    <t>Endor</t>
  </si>
  <si>
    <t>Pump It Up</t>
  </si>
  <si>
    <t>https://p16-pu-sign-useast8.tiktokcdn-us.com/tos-useast8-p-0068-tx2/oIdiqEJIGfj0hCD1AIe0APByeLp5mOIIVVrj5F~tplv-tiktokx-origin.image?dr=10395&amp;x-expires=1757631600&amp;x-signature=mGCN%2BKB%2FNlRnwW2Zrz6zhXgRjc4%3D&amp;t=4d5b0474&amp;ps=13740610&amp;shp=81f88b70&amp;shcp=43f4a2f9&amp;idc=no1a</t>
  </si>
  <si>
    <t>trying the skims x dolce collab</t>
  </si>
  <si>
    <t>IG &amp; YT: @taylortiminskas taylor@outreachtalentgroup.com</t>
  </si>
  <si>
    <t>https://www.tiktok.com/@taylortiminskas</t>
  </si>
  <si>
    <t>Taylor Timinskas</t>
  </si>
  <si>
    <t>taylortiminskas</t>
  </si>
  <si>
    <t>6799691907901309958</t>
  </si>
  <si>
    <r>
      <rPr>
        <u/>
        <sz val="12"/>
        <color rgb="FF1155CC"/>
        <rFont val="Calibri"/>
        <family val="2"/>
        <scheme val="minor"/>
      </rPr>
      <t>https://www.tiktok.com/@ashl3ybnks/video/7531808138073246998</t>
    </r>
  </si>
  <si>
    <t>Drake</t>
  </si>
  <si>
    <t>What Did I Miss?</t>
  </si>
  <si>
    <t>https://p16-pu-sign-no.tiktokcdn-eu.com/tos-no1a-p-0037-no/oAZiCePEGLKRLEfIhGIWLUI6DDIIszhAeDjLTA~tplv-tiktokx-origin.image?dr=10395&amp;x-expires=1757631600&amp;x-signature=i1pGQkhc3mE%2FOYu2FzqmMOwPFJc%3D&amp;t=4d5b0474&amp;ps=13740610&amp;shp=81f88b70&amp;shcp=43f4a2f9&amp;idc=no1a</t>
  </si>
  <si>
    <t>Obsessed with my hair omgg! Also @SKIMS I need this body suit in all the colours 😭</t>
  </si>
  <si>
    <t>UK📍 Depop: Ashleychilli Just a girl posting her fits</t>
  </si>
  <si>
    <t>https://www.tiktok.com/@ashl3ybnks</t>
  </si>
  <si>
    <t>Ashl3ybnks</t>
  </si>
  <si>
    <t>ashl3ybnks</t>
  </si>
  <si>
    <r>
      <rPr>
        <u/>
        <sz val="12"/>
        <color rgb="FF1155CC"/>
        <rFont val="Calibri"/>
        <family val="2"/>
        <scheme val="minor"/>
      </rPr>
      <t>https://www.tiktok.com/@snipestwins/video/7335284133561666858</t>
    </r>
  </si>
  <si>
    <t>Gracie Abrams</t>
  </si>
  <si>
    <t>Close To You</t>
  </si>
  <si>
    <t>https://p16-sign.tiktokcdn-us.com/tos-useast5-p-0068-tx/o4BeAlDz9FGDWCkDIlEDkkfyQJmwgszSDSckxV~tplv-tiktokx-origin.image?dr=10395&amp;x-expires=1757631600&amp;x-signature=%2B0bsiYk212mFFpGtfOtfilyfzmg%3D&amp;t=4d5b0474&amp;ps=13740610&amp;shp=81f88b70&amp;shcp=43f4a2f9&amp;idc=no1a</t>
  </si>
  <si>
    <t>🔗 in SF!! The AmZ0N hoodie hoodiessss 🌸🍒💓🎀🩰 #girlygirl #babypink #pink #skims #skimstryon #skimscherryblossom #skimshoodie #skimsgirl #skimstryon #oversizedhoodie #hoodies</t>
  </si>
  <si>
    <r>
      <rPr>
        <u/>
        <sz val="12"/>
        <color rgb="FF1155CC"/>
        <rFont val="Calibri"/>
        <family val="2"/>
        <scheme val="minor"/>
      </rPr>
      <t>https://www.tiktok.com/@iamjaylam/video/7466164041724136750</t>
    </r>
  </si>
  <si>
    <t>🎵</t>
  </si>
  <si>
    <t>thim slick by fabulous</t>
  </si>
  <si>
    <t>https://p16-sign.tiktokcdn-us.com/tos-useast5-p-0068-tx/og1oEYdERSuffF2OJgBSKIAnEA4nEsD3U6ODFB~tplv-tiktokx-origin.image?dr=10395&amp;x-expires=1757631600&amp;x-signature=WZ2WMdpC2N18TCDBzg8Pc5knIC4%3D&amp;t=4d5b0474&amp;ps=13740610&amp;shp=81f88b70&amp;shcp=43f4a2f9&amp;idc=no1a</t>
  </si>
  <si>
    <t>And it’s tall girl friendly 🥰 #fyp #skimshaul #skimsvalentinecollection #skimsreview #personalshopper #tryonhaul #tryonwithme #galentinesday #galentineideas #valentinesday</t>
  </si>
  <si>
    <t>Detroit ❤️ Makeup IG: Jaylamartistry Shopgirlswrld.co 🫶</t>
  </si>
  <si>
    <t>https://www.tiktok.com/@iamjaylam</t>
  </si>
  <si>
    <t>Iamjaylam 🍒</t>
  </si>
  <si>
    <t>iamjaylam</t>
  </si>
  <si>
    <t>6895090158837482502</t>
  </si>
  <si>
    <r>
      <rPr>
        <u/>
        <sz val="12"/>
        <color rgb="FF1155CC"/>
        <rFont val="Calibri"/>
        <family val="2"/>
        <scheme val="minor"/>
      </rPr>
      <t>https://www.tiktok.com/@allysasway/video/7289143703489252654</t>
    </r>
  </si>
  <si>
    <t>RX 🌻</t>
  </si>
  <si>
    <t>original sound - Dose of RX | A dose of life ✨️</t>
  </si>
  <si>
    <t>https://p16-sign.tiktokcdn-us.com/tos-useast5-p-0068-tx/1f313bfc51254de98a0720624d30400f_1697136034~tplv-tiktokx-dmt-logom:tos-useast5-i-0068-tx/ooxwgyPOAv7CBLJyIg7BBLr8ZhINEAfoAAAlNz.image?dr=10393&amp;x-expires=1757631600&amp;x-signature=377F0%2FF18SBdZwrBOqgADrDEIGY%3D&amp;t=4d5b0474&amp;ps=13740610&amp;shp=81f88b70&amp;shcp=43f4a2f9&amp;idc=no1a</t>
  </si>
  <si>
    <t>Foldover pant : medium Long sleeve : XS #skims</t>
  </si>
  <si>
    <t>🫶🏼</t>
  </si>
  <si>
    <t>https://www.tiktok.com/@allysasway</t>
  </si>
  <si>
    <t>Allysa</t>
  </si>
  <si>
    <t>allysasway</t>
  </si>
  <si>
    <t>6767705519413314565</t>
  </si>
  <si>
    <r>
      <rPr>
        <u/>
        <sz val="12"/>
        <color rgb="FF1155CC"/>
        <rFont val="Calibri"/>
        <family val="2"/>
        <scheme val="minor"/>
      </rPr>
      <t>https://www.tiktok.com/@allanahjoi/video/7415741030676368682</t>
    </r>
  </si>
  <si>
    <t>Allanahjoi</t>
  </si>
  <si>
    <t>https://p16-sign.tiktokcdn-us.com/tos-useast5-p-0068-tx/oAFETzlm6AZ8DKCCEtBgfRABSLqfQsDKEYmgID~tplv-tiktokx-origin.image?dr=10395&amp;x-expires=1757631600&amp;x-signature=cakRfyAteWQEe57vbqOut4%2FoZck%3D&amp;t=4d5b0474&amp;ps=13740610&amp;shp=81f88b70&amp;shcp=43f4a2f9&amp;idc=no1a</t>
  </si>
  <si>
    <t>New fleece 🩶@SKIMS #skimspartner</t>
  </si>
  <si>
    <t>Taurus ofc 🍓 allanahpr@gmail.com Outfits⤵️</t>
  </si>
  <si>
    <t>https://www.tiktok.com/@allanahjoi</t>
  </si>
  <si>
    <t>allanahjoi</t>
  </si>
  <si>
    <t>6785252917018543109</t>
  </si>
  <si>
    <r>
      <rPr>
        <u/>
        <sz val="12"/>
        <color rgb="FF1155CC"/>
        <rFont val="Calibri"/>
        <family val="2"/>
        <scheme val="minor"/>
      </rPr>
      <t>https://www.tiktok.com/@khkiddo/video/7525182454114700557</t>
    </r>
  </si>
  <si>
    <t>https://p16-sign.tiktokcdn-us.com/tos-useast5-p-0068-tx/o0ubgbDEOIoKFZGDbSfBRXCZcf9J0tEOAED0GI~tplv-tiktokx-origin.image?dr=10395&amp;x-expires=1757631600&amp;x-signature=Uq7KLlkZ%2B2JGA3ZYLCx78uJXBVg%3D&amp;t=4d5b0474&amp;ps=13740610&amp;shp=81f88b70&amp;shcp=43f4a2f9&amp;idc=no1a</t>
  </si>
  <si>
    <t>@SKIMS YOU do not disappoint! #skims#skimslegging#skimstop#skimstee#skimsunboxing#skimshaul #skimssoftsmoothingseamless</t>
  </si>
  <si>
    <t>outfit inspo | beauty | wellness | travel 📍dubai | miami 📩Info@khkiddo.com</t>
  </si>
  <si>
    <t>https://www.tiktok.com/@khkiddo</t>
  </si>
  <si>
    <t>khkiddo</t>
  </si>
  <si>
    <t>6754934880385221638</t>
  </si>
  <si>
    <r>
      <rPr>
        <u/>
        <sz val="12"/>
        <color rgb="FF1155CC"/>
        <rFont val="Calibri"/>
        <family val="2"/>
        <scheme val="minor"/>
      </rPr>
      <t>https://www.tiktok.com/@mary_truong26/video/7412015481047207214</t>
    </r>
  </si>
  <si>
    <t>mary_truong</t>
  </si>
  <si>
    <t>https://p19-sign.tiktokcdn-us.com/tos-useast5-p-0068-tx/c3808e3b38344714a7a6749bc4721f71_1725744342~tplv-tiktokx-origin.image?dr=10395&amp;x-expires=1757631600&amp;x-signature=z%2FsCS6jEGk2nCfJgWoLwawZXhaY%3D&amp;t=4d5b0474&amp;ps=13740610&amp;shp=81f88b70&amp;shcp=43f4a2f9&amp;idc=no1a</t>
  </si>
  <si>
    <t>@SKIMS keeping me looking snatched in all my denim fits #skimsshapewear #skimspartner #skims #skim #skimsseamlesssculptbodysuit #seamlesssculpt #snatched #bodysuit #skimsbodysuit</t>
  </si>
  <si>
    <t>City girl living in a camper 🪩🍒🤍🫧 💌 marytruong.connect@gmail.com</t>
  </si>
  <si>
    <t>https://www.tiktok.com/@mary_truong26</t>
  </si>
  <si>
    <t>mary_truong26</t>
  </si>
  <si>
    <t>6984546725235639301</t>
  </si>
  <si>
    <r>
      <rPr>
        <u/>
        <sz val="12"/>
        <color rgb="FF1155CC"/>
        <rFont val="Calibri"/>
        <family val="2"/>
        <scheme val="minor"/>
      </rPr>
      <t>https://www.tiktok.com/@blureignn/video/7224578096748350746</t>
    </r>
  </si>
  <si>
    <t>A Boogie Wit Da Hoodie</t>
  </si>
  <si>
    <t>Wild Thots</t>
  </si>
  <si>
    <t>https://p19-common-sign-useastred.tiktokcdn-eu.com/tos-useast2a-p-0037-aiso/osoGC4ChInmN02Jt2oAWhIZIEAMyoBzqom4hfA~tplv-tiktokx-origin.image?dr=10395&amp;x-expires=1757631600&amp;x-signature=06gUleirhn2mXTE3LV69ygpmb2M%3D&amp;t=4d5b0474&amp;ps=13740610&amp;shp=81f88b70&amp;shcp=43f4a2f9&amp;idc=no1a</t>
  </si>
  <si>
    <t>NEED SIZING HELP? WE GOT YOU 😮‍💨 #clothingbrand #fashiontiktok #streetwear #trendingfashion #outfitideas #stylingoutfits #tiktokshopclothing #y2kaesthetic #goingoutoutfit #skimsvibes #skims</t>
  </si>
  <si>
    <t>UK WOMENSWEAR BRAND WORLDWIDE SHIPPING IG: @blureignn</t>
  </si>
  <si>
    <t>https://www.tiktok.com/@blureignn</t>
  </si>
  <si>
    <t>Blu Reign</t>
  </si>
  <si>
    <t>blureignn</t>
  </si>
  <si>
    <t>94573605606289408</t>
  </si>
  <si>
    <r>
      <rPr>
        <u/>
        <sz val="12"/>
        <color rgb="FF1155CC"/>
        <rFont val="Calibri"/>
        <family val="2"/>
        <scheme val="minor"/>
      </rPr>
      <t>https://www.tiktok.com/@fausta.cm/video/7484283412988185878</t>
    </r>
  </si>
  <si>
    <t>WILLIS</t>
  </si>
  <si>
    <t>I Think I Like When It Rains</t>
  </si>
  <si>
    <t>https://p16-pu-sign-no.tiktokcdn-eu.com/tos-no1a-p-0037-no/oYEJIkDfYCjIdvERRh3n8DFPZKyDRXgFAyeYdB~tplv-tiktokx-origin.image?dr=10395&amp;x-expires=1757631600&amp;x-signature=Bh%2FQuyhKAxYXyYMhemrRMoFFVPw%3D&amp;t=4d5b0474&amp;ps=13740610&amp;shp=81f88b70&amp;shcp=43f4a2f9&amp;idc=no1a</t>
  </si>
  <si>
    <t>Anzeige // @SKIMS #skimspartner #skimscotton #SKIMS</t>
  </si>
  <si>
    <t>18 collab📩: faustacm3@gmail.com</t>
  </si>
  <si>
    <t>https://www.tiktok.com/@fausta.cm</t>
  </si>
  <si>
    <t>fausta</t>
  </si>
  <si>
    <t>fausta.cm</t>
  </si>
  <si>
    <r>
      <rPr>
        <u/>
        <sz val="12"/>
        <color rgb="FF1155CC"/>
        <rFont val="Calibri"/>
        <family val="2"/>
        <scheme val="minor"/>
      </rPr>
      <t>https://www.tiktok.com/@ninahouston/video/7213397755614547206</t>
    </r>
  </si>
  <si>
    <t>STURDYYOUNGIN</t>
  </si>
  <si>
    <t>PRETTY BOY FLOW</t>
  </si>
  <si>
    <t>https://p16-sign-va.tiktokcdn.com/tos-maliva-p-0068/a6a684b309da4699aa831c2a9bf8c4c6_1679500050~tplv-tiktokx-origin.image?dr=10395&amp;x-expires=1757631600&amp;x-signature=cPE5phlRlkcGOcLjufkdcG1DMX4%3D&amp;t=4d5b0474&amp;ps=13740610&amp;shp=81f88b70&amp;shcp=43f4a2f9&amp;idc=no1a</t>
  </si>
  <si>
    <t>Try on of the skims bodysuit 🤍 I’m obsessed! 🫶🏼🫶🏼 #skims #skimsbodysuit #viral</t>
  </si>
  <si>
    <t>💌 nina@makersavenue.nl</t>
  </si>
  <si>
    <t>https://www.tiktok.com/@ninahouston</t>
  </si>
  <si>
    <t>Nina Houston</t>
  </si>
  <si>
    <t>ninahouston</t>
  </si>
  <si>
    <t>6533699752788235279</t>
  </si>
  <si>
    <r>
      <rPr>
        <u/>
        <sz val="12"/>
        <color rgb="FF1155CC"/>
        <rFont val="Calibri"/>
        <family val="2"/>
        <scheme val="minor"/>
      </rPr>
      <t>https://www.tiktok.com/@julia_laurina/video/7463807950700711190</t>
    </r>
  </si>
  <si>
    <t>CarterWalsh</t>
  </si>
  <si>
    <t>LOSE MY BREATH X LADY</t>
  </si>
  <si>
    <t>https://p16-pu-sign-no.tiktokcdn-eu.com/tos-no1a-p-0037-no/oAvAZiFIBBAUiuzQ9hEcCZYxi9A5E6Ap6B0TT~tplv-tiktokx-origin.image?dr=10395&amp;x-expires=1757631600&amp;x-signature=ieob0xWU%2BhNa8vIR%2BnaLXjV3x%2Bc%3D&amp;t=4d5b0474&amp;ps=13740610&amp;shp=81f88b70&amp;shcp=43f4a2f9&amp;idc=no1a</t>
  </si>
  <si>
    <t>🍸 Cocktails &amp; Beauty 📩 booking@julialaurina.de 🛍️ amazon storefront</t>
  </si>
  <si>
    <t>https://www.tiktok.com/@julia_laurina</t>
  </si>
  <si>
    <t>Julia Laurina</t>
  </si>
  <si>
    <t>julia_laurina</t>
  </si>
  <si>
    <t>194985478297911297</t>
  </si>
  <si>
    <r>
      <rPr>
        <u/>
        <sz val="12"/>
        <color rgb="FF1155CC"/>
        <rFont val="Calibri"/>
        <family val="2"/>
        <scheme val="minor"/>
      </rPr>
      <t>https://www.tiktok.com/@francesca.wz/video/7442700305457974550</t>
    </r>
  </si>
  <si>
    <t>Francesca</t>
  </si>
  <si>
    <t>https://p16-pu-sign-no.tiktokcdn-eu.com/tos-no1a-p-0037-no/oABCLBipHEB1BzAARsAwfIiwzJIOIVdCSAIOyB~tplv-tiktokx-origin.image?dr=10395&amp;x-expires=1757631600&amp;x-signature=%2BQenIkQu%2BNq2vR9SFkOtolahhi4%3D&amp;t=4d5b0474&amp;ps=13740610&amp;shp=81f88b70&amp;shcp=43f4a2f9&amp;idc=no1a</t>
  </si>
  <si>
    <t>vertraut mir und bestellt heute noch 🤓</t>
  </si>
  <si>
    <t>Make-up | Fashion | Skincare 📩| francesca@alletragenmasken.de</t>
  </si>
  <si>
    <t>https://www.tiktok.com/@francesca.wz</t>
  </si>
  <si>
    <t>francesca.wz</t>
  </si>
  <si>
    <t>96402384888725504</t>
  </si>
  <si>
    <r>
      <rPr>
        <u/>
        <sz val="12"/>
        <color rgb="FF1155CC"/>
        <rFont val="Calibri"/>
        <family val="2"/>
        <scheme val="minor"/>
      </rPr>
      <t>https://www.tiktok.com/@gabimfmoura/video/7358956787489443104</t>
    </r>
  </si>
  <si>
    <t>gabriela moura</t>
  </si>
  <si>
    <t>https://p16-sign-va.tiktokcdn.com/tos-maliva-i-e1os8tt47a-us/26de93851df8419980f20f761f9f7869~tplv-tiktokx-origin.image?dr=10395&amp;x-expires=1757631600&amp;x-signature=joz6U1a%2F4PG8qn8wPJGuozjNKcE%3D&amp;t=4d5b0474&amp;ps=13740610&amp;shp=81f88b70&amp;shcp=43f4a2f9&amp;idc=no1a</t>
  </si>
  <si>
    <t>so pretty!!! @SKIMS #skimspartner</t>
  </si>
  <si>
    <t>made in brazil 🦋 chris@crosscheckstudios.com</t>
  </si>
  <si>
    <t>https://www.tiktok.com/@gabimfmoura</t>
  </si>
  <si>
    <t>gabimfmoura</t>
  </si>
  <si>
    <t>6718502599211418630</t>
  </si>
  <si>
    <r>
      <rPr>
        <u/>
        <sz val="12"/>
        <color rgb="FF1155CC"/>
        <rFont val="Calibri"/>
        <family val="2"/>
        <scheme val="minor"/>
      </rPr>
      <t>https://www.tiktok.com/@macwebb22/video/7532322676648561950</t>
    </r>
  </si>
  <si>
    <t>Fäb</t>
  </si>
  <si>
    <t>https://p19-pu-sign-useast8.tiktokcdn-us.com/tos-useast8-p-0068-tx2/o4VQL0eEs6jzFQeQ7CFRAXcDAoqyWIi0fFEIO2~tplv-tiktokx-origin.image?dr=9636&amp;x-expires=1757631600&amp;x-signature=x54fiF2NeOOKwH7JBE0P5yJU8kM%3D&amp;t=4d5b0474&amp;ps=13740610&amp;shp=81f88b70&amp;shcp=43f4a2f9&amp;idc=useast5</t>
  </si>
  <si>
    <t>had to hit this in the new skims pjs @SKIMS #dance #fyp</t>
  </si>
  <si>
    <t>https://www.tiktok.com/@macwebb22</t>
  </si>
  <si>
    <t>mace</t>
  </si>
  <si>
    <t>macwebb22</t>
  </si>
  <si>
    <t>6745457819544388614</t>
  </si>
  <si>
    <r>
      <rPr>
        <u/>
        <sz val="12"/>
        <color rgb="FF1155CC"/>
        <rFont val="Calibri"/>
        <family val="2"/>
        <scheme val="minor"/>
      </rPr>
      <t>https://www.tiktok.com/@lenakadry/video/7500011745298189599</t>
    </r>
  </si>
  <si>
    <t>Gunna</t>
  </si>
  <si>
    <t>poochie gown</t>
  </si>
  <si>
    <t>https://p19-pu-sign-useast8.tiktokcdn-us.com/tos-useast8-p-0068-tx2/oURvplBibVBIEAlJpAACZi55sAQBZiEaAVYAi~tplv-tiktokx-origin.image?dr=9636&amp;x-expires=1757631600&amp;x-signature=JROD%2FRJfT9SAfjaOnwMOiE69wa0%3D&amp;t=4d5b0474&amp;ps=13740610&amp;shp=81f88b70&amp;shcp=43f4a2f9&amp;idc=useast5</t>
  </si>
  <si>
    <t>@SKIMS</t>
  </si>
  <si>
    <t>🇱🇧🇺🇸 Js sharing my life :) OC/LA IG lenakadry 💌: Alkadrylena111@gmail.com</t>
  </si>
  <si>
    <t>https://www.tiktok.com/@lenakadry</t>
  </si>
  <si>
    <t>Lena.com</t>
  </si>
  <si>
    <t>lenakadry</t>
  </si>
  <si>
    <t>7319316036661658630</t>
  </si>
  <si>
    <r>
      <rPr>
        <u/>
        <sz val="12"/>
        <color rgb="FF1155CC"/>
        <rFont val="Calibri"/>
        <family val="2"/>
        <scheme val="minor"/>
      </rPr>
      <t>https://www.tiktok.com/@thatgirljosieee/video/7532696954346736901</t>
    </r>
  </si>
  <si>
    <t>mallorie</t>
  </si>
  <si>
    <t>i am obsessed with this</t>
  </si>
  <si>
    <t>https://p16-common-sign-va.tiktokcdn-us.com/tos-maliva-p-0068/oYEIEApYEFANtiAQQRyDJ78wYQBAP8oTqBzfCf~tplv-tiktokx-dmt-logom:tos-useast2a-v-0068/okQfTAaRYJAoQEQoEiFfBCQutBYAPsIdRAD8E6.image?dr=9634&amp;x-expires=1757631600&amp;x-signature=W0FFQ%2BNBGGeZ%2B6KrpT7LE5SU3sQ%3D&amp;t=4d5b0474&amp;ps=13740610&amp;shp=81f88b70&amp;shcp=43f4a2f9&amp;idc=useast5</t>
  </si>
  <si>
    <t>Better from the back @SKIMS #skims #skimshaul #skimsboyshorts #boyshorts# #fyp</t>
  </si>
  <si>
    <t>WELCOME SEXY!! catching flights and telling stories 💌josieewingmedia@gmail.com</t>
  </si>
  <si>
    <t>https://www.tiktok.com/@thatgirljosieee</t>
  </si>
  <si>
    <t>thatgirljosieee</t>
  </si>
  <si>
    <t>6694320893223535621</t>
  </si>
  <si>
    <r>
      <rPr>
        <u/>
        <sz val="12"/>
        <color rgb="FF1155CC"/>
        <rFont val="Calibri"/>
        <family val="2"/>
        <scheme val="minor"/>
      </rPr>
      <t>https://www.tiktok.com/@_kais.spam_/video/7537401148555136286</t>
    </r>
  </si>
  <si>
    <t>kai grace</t>
  </si>
  <si>
    <t>https://p16-pu-sign-useast8.tiktokcdn-us.com/tos-useast8-p-0068-tx2/oMEaIBiRIO5TAoB0DiyxfEBwiO4CTiDAqJRnAt~tplv-tiktokx-origin.image?dr=9636&amp;x-expires=1757631600&amp;x-signature=JKgwOuUtqXwURa3OJN88W%2BVGXpQ%3D&amp;t=4d5b0474&amp;ps=13740610&amp;shp=81f88b70&amp;shcp=43f4a2f9&amp;idc=useast5</t>
  </si>
  <si>
    <t>@SKIMS Long awaited!!! #skims #clothing #skims #haul #CapCut</t>
  </si>
  <si>
    <t>this is a spam. (937 on main) kaigibsonxx@gmail.com 💌 ig: kaigibson_ BOOKS ⬇️</t>
  </si>
  <si>
    <t>https://www.tiktok.com/@_kais.spam_</t>
  </si>
  <si>
    <t>_kais.spam_</t>
  </si>
  <si>
    <t>6761873995464213509</t>
  </si>
  <si>
    <r>
      <rPr>
        <u/>
        <sz val="12"/>
        <color rgb="FF1155CC"/>
        <rFont val="Calibri"/>
        <family val="2"/>
        <scheme val="minor"/>
      </rPr>
      <t>https://www.tiktok.com/@dionysian.girl/video/7282794828553801006</t>
    </r>
  </si>
  <si>
    <t>Ida Giancola</t>
  </si>
  <si>
    <t>https://p19-pu-sign-useast8.tiktokcdn-us.com/tos-useast5-p-0068-tx/afe789cd14b44c37a4a4ddd880e3fa4a_1695657823~tplv-tiktokx-origin.image?dr=9636&amp;x-expires=1757631600&amp;x-signature=AU2vd8c32q7VJfqRG5eqwltCEek%3D&amp;t=4d5b0474&amp;ps=13740610&amp;shp=81f88b70&amp;shcp=43f4a2f9&amp;idc=useast5</t>
  </si>
  <si>
    <t>You know i love my skims!!! New @SKIMS Fits Everybody dropping 9/26 at 9 AM PT #ad #fallfashion #skimstryon #grwm</t>
  </si>
  <si>
    <t>Loud luxury and style 💕🪩 📧: idagiancolabusiness@gmail.com IG: @ida.Giancola</t>
  </si>
  <si>
    <t>https://www.tiktok.com/@dionysian.girl</t>
  </si>
  <si>
    <t>dionysian.girl</t>
  </si>
  <si>
    <t>6819697634468496389</t>
  </si>
  <si>
    <r>
      <rPr>
        <u/>
        <sz val="12"/>
        <color rgb="FF1155CC"/>
        <rFont val="Calibri"/>
        <family val="2"/>
        <scheme val="minor"/>
      </rPr>
      <t>https://www.tiktok.com/@barefacedmedia/video/7532818463279172886</t>
    </r>
  </si>
  <si>
    <t>Barefaced</t>
  </si>
  <si>
    <t>https://p16-common-sign-no.tiktokcdn-us.com/tos-no1a-p-0037-no/okYPZauniB2IJdyxiIYBl8a8BEEODBcboi7An~tplv-tiktokx-dmt-logom:tos-no1a-i-0068-no/owAZA8cpMWRiWAgR1PQkeeheJKQAhoXApmGfTA.image?dr=9634&amp;x-expires=1757631600&amp;x-signature=CEZef%2BtjvmHRQSAisJFWQgeQaDY%3D&amp;t=4d5b0474&amp;ps=13740610&amp;shp=81f88b70&amp;shcp=43f4a2f9&amp;idc=useast5</t>
  </si>
  <si>
    <t>A terrifying new normal. Trending beauty products reflect our beauty ideals, and giving the illusion of being sculpted is no longer enough… #particlpartner #skims #kimkardashian #morningshed</t>
  </si>
  <si>
    <t>beauty+business+data lily@barefaced.media listen to the barefaced podcast👇</t>
  </si>
  <si>
    <t>https://www.tiktok.com/@barefacedmedia</t>
  </si>
  <si>
    <t>barefacedmedia</t>
  </si>
  <si>
    <t>7186827174564561962</t>
  </si>
  <si>
    <r>
      <rPr>
        <u/>
        <sz val="12"/>
        <color rgb="FF1155CC"/>
        <rFont val="Calibri"/>
        <family val="2"/>
        <scheme val="minor"/>
      </rPr>
      <t>https://www.tiktok.com/@xxasiaboonexx/video/7548193431542140190</t>
    </r>
  </si>
  <si>
    <t>Playboicj</t>
  </si>
  <si>
    <t>https://p16-pu-sign-useast8.tiktokcdn-us.com/tos-useast8-p-0068-tx2/oQRvLSBW8ABIEAlB8ADAPiI2BAgMkiEaACRAh~tplv-tiktokx-origin.image?dr=9636&amp;x-expires=1757631600&amp;x-signature=%2FwvoR1aJbephic67PXHzAcLGlUM%3D&amp;t=4d5b0474&amp;ps=13740610&amp;shp=81f88b70&amp;shcp=43f4a2f9&amp;idc=useast5</t>
  </si>
  <si>
    <t>Ms Kimberly this color eats downnn @SKIMS 🐻 #skims #skimssweatpants #skimssets #skimsoutfit #skimssweatset #skimsdarksepia #brownsweatset #fallset #browngirl</t>
  </si>
  <si>
    <t>for the girlies and mamas seattle wa ✉️asiaboonex@gmail.com | collabs x ugc</t>
  </si>
  <si>
    <t>https://www.tiktok.com/@xxasiaboonexx</t>
  </si>
  <si>
    <t>xxasiaboonexx</t>
  </si>
  <si>
    <t>7308785608079246382</t>
  </si>
  <si>
    <r>
      <rPr>
        <u/>
        <sz val="12"/>
        <color rgb="FF1155CC"/>
        <rFont val="Calibri"/>
        <family val="2"/>
        <scheme val="minor"/>
      </rPr>
      <t>https://www.tiktok.com/@lemonistacoco/video/7532943858645191966</t>
    </r>
  </si>
  <si>
    <t>NLE Choppa &amp; Whethan</t>
  </si>
  <si>
    <t>SLUT ME OUT 3 (feat. Carey Washington)</t>
  </si>
  <si>
    <t>https://p16-pu-sign-useast8.tiktokcdn-us.com/tos-useast8-p-0068-tx2/oE2U5OAFeAInLkEfAGjRjTEuyIIqLIA3fMAQ2q~tplv-tiktokx-origin.image?dr=9636&amp;x-expires=1757631600&amp;x-signature=fd7HZGcgXah%2Fc52YZyTJCCDCo9I%3D&amp;t=4d5b0474&amp;ps=13740610&amp;shp=81f88b70&amp;shcp=43f4a2f9&amp;idc=useast5</t>
  </si>
  <si>
    <t>what’s your favorite? 🍯✨ #fentysuperbrandday #xyzbca #poland #polishgirl #chatgpt #tsitp #summer #blowthisup #jet2holidays #baddie #baddies #badgirl #skims #skimsreview #kimkardashian #kardashians #skimshaul #shopping #shoppinghaul #clothinghaul</t>
  </si>
  <si>
    <t>IG @lemonistacoco - link in bio 🤍👀 🇵🇱 poland 🇵🇱</t>
  </si>
  <si>
    <t>https://www.tiktok.com/@lemonistacoco</t>
  </si>
  <si>
    <t>lemonistacoco</t>
  </si>
  <si>
    <t>6691484346753582085</t>
  </si>
  <si>
    <r>
      <rPr>
        <u/>
        <sz val="12"/>
        <color rgb="FF1155CC"/>
        <rFont val="Calibri"/>
        <family val="2"/>
        <scheme val="minor"/>
      </rPr>
      <t>https://www.tiktok.com/@luisapiou/video/7243861024749653290</t>
    </r>
  </si>
  <si>
    <t>Luisa Piou</t>
  </si>
  <si>
    <t>https://p19-pu-sign-useast8.tiktokcdn-us.com/tos-useast5-p-0068-tx/1ab21fc2f8574478b4edfadb94c230f7_1686592834~tplv-tiktokx-origin.image?dr=9636&amp;x-expires=1757631600&amp;x-signature=ovxam5LABhRvqR5N13sQVv%2Bccok%3D&amp;t=4d5b0474&amp;ps=13740610&amp;shp=81f88b70&amp;shcp=43f4a2f9&amp;idc=useast8</t>
  </si>
  <si>
    <t>he’s not ready to see me in this fit omg new @SKIMS Fits Everybody dropping 6.15 at 9AM PT #summerlooks #ootd #grwm</t>
  </si>
  <si>
    <t>🇧🇷 : @luisapioubr My IG Is better</t>
  </si>
  <si>
    <t>https://www.tiktok.com/@luisapiou</t>
  </si>
  <si>
    <t>luisapiou</t>
  </si>
  <si>
    <t>6694300789697053702</t>
  </si>
  <si>
    <r>
      <rPr>
        <u/>
        <sz val="12"/>
        <color rgb="FF1155CC"/>
        <rFont val="Calibri"/>
        <family val="2"/>
        <scheme val="minor"/>
      </rPr>
      <t>https://www.tiktok.com/@ems.panico/video/7296593237047840042</t>
    </r>
  </si>
  <si>
    <t>Brent Faiyaz</t>
  </si>
  <si>
    <t>ALL MINE</t>
  </si>
  <si>
    <t>https://p16-pu-sign-useast8.tiktokcdn-us.com/tos-useast5-p-0068-tx/295856ed5eb440b4a36bfae380477d17_1698870514~tplv-tiktokx-dmt-logom:tos-useast5-i-0068-tx/oYejatfICJOLx4SIAQTAaAAfVeOAdVDMGRGFIC.image?dr=9634&amp;x-expires=1757631600&amp;x-signature=b5YWVABBSVyPYof7d0d9A8SF0d8%3D&amp;t=4d5b0474&amp;ps=13740610&amp;shp=81f88b70&amp;shcp=43f4a2f9&amp;idc=useast8</t>
  </si>
  <si>
    <t>Got my man skims so we can match😫🩷@Jacolby@SKIMS #skims #skimsmens #matching</t>
  </si>
  <si>
    <t>Lifestyle | Wellness | Beauty 💌epanico00@gmail.com 🇧🇷x🇮🇹</t>
  </si>
  <si>
    <t>https://www.tiktok.com/@ems.panico</t>
  </si>
  <si>
    <t>Em</t>
  </si>
  <si>
    <t>ems.panico</t>
  </si>
  <si>
    <t>7278891237439570987</t>
  </si>
  <si>
    <r>
      <rPr>
        <u/>
        <sz val="12"/>
        <color rgb="FF1155CC"/>
        <rFont val="Calibri"/>
        <family val="2"/>
        <scheme val="minor"/>
      </rPr>
      <t>https://www.tiktok.com/@ilis249/video/7287473419351018798</t>
    </r>
  </si>
  <si>
    <t>The King Khan &amp; BBQ Show</t>
  </si>
  <si>
    <t>Love You So</t>
  </si>
  <si>
    <t>https://p19-sign.tiktokcdn-us.com/tos-useast5-p-0068-tx/o8IAdfBbATJNkBkFpypZAhpiXSECInmAzSTDhw~tplv-tiktokx-origin.image?dr=9636&amp;x-expires=1757631600&amp;x-signature=mUx2Ww7BXO1Wm3qM%2B5eaFalkvuI%3D&amp;t=4d5b0474&amp;ps=13740610&amp;shp=81f88b70&amp;shcp=43f4a2f9&amp;idc=useast8</t>
  </si>
  <si>
    <t>I got a way to saved 50% off on skims!!! SKIMS coupon newest ! #skims #skimsbodysuit #skimshaul #coupert #promocodes #couponing</t>
  </si>
  <si>
    <t>👇Click🔗: Just save you a million😉</t>
  </si>
  <si>
    <t>https://www.tiktok.com/@ilis249</t>
  </si>
  <si>
    <t>ilis</t>
  </si>
  <si>
    <t>ilis249</t>
  </si>
  <si>
    <t>6785770101574730757</t>
  </si>
  <si>
    <r>
      <rPr>
        <u/>
        <sz val="12"/>
        <color rgb="FF1155CC"/>
        <rFont val="Calibri"/>
        <family val="2"/>
        <scheme val="minor"/>
      </rPr>
      <t>https://www.tiktok.com/@sophiaskincare/video/7547113809870081335</t>
    </r>
  </si>
  <si>
    <t>Sophia Sanchez</t>
  </si>
  <si>
    <t>https://p19-pu-sign-useast8.tiktokcdn-us.com/tos-useast5-p-0068-tx/o0oCE8XEADEN5gAAKvoCfFCxwDSbjIqpRLvfmA~tplv-tiktokx-origin.image?dr=9636&amp;x-expires=1757631600&amp;x-signature=cUnbxlYEuJTZN2iuQC%2Fv6y4GJJ0%3D&amp;t=4d5b0474&amp;ps=13740610&amp;shp=81f88b70&amp;shcp=43f4a2f9&amp;idc=useast8</t>
  </si>
  <si>
    <t>time to go out on a friday in San Francisco! #outfit #filipina #moving #sanfrancisco @SKIMS #skimspartner @UNIQLO USA @Gap</t>
  </si>
  <si>
    <t>🧿🌶️🍸💓🐞🇵🇭 sophiaskincare14@gmail.com San Francisco</t>
  </si>
  <si>
    <t>https://www.tiktok.com/@sophiaskincare</t>
  </si>
  <si>
    <t>sophiaskincare</t>
  </si>
  <si>
    <t>6721149290713416710</t>
  </si>
  <si>
    <r>
      <rPr>
        <u/>
        <sz val="12"/>
        <color rgb="FF1155CC"/>
        <rFont val="Calibri"/>
        <family val="2"/>
        <scheme val="minor"/>
      </rPr>
      <t>https://www.tiktok.com/@giselleerico/video/7546349916583431454</t>
    </r>
  </si>
  <si>
    <t>Quotables</t>
  </si>
  <si>
    <t>https://p19-pu-sign-useast8.tiktokcdn-us.com/tos-useast8-p-0068-tx2/oQmilBgVIEyEV3uBN6BBfEQRUfAiBVgAvBZoIj~tplv-tiktokx-origin.image?dr=9636&amp;x-expires=1757631600&amp;x-signature=d7Dyi5wlEEO3WrdJacMqNRkb3c0%3D&amp;t=4d5b0474&amp;ps=13740610&amp;shp=81f88b70&amp;shcp=43f4a2f9&amp;idc=useast8</t>
  </si>
  <si>
    <t>The dreamiest color for fall😍🤎 @SKIMS Iron TOP: cotton jersey scoop neck long sleeve BOTTOMS: cotton jersey low rise crop pant #skims#skimshaul#ootd#skimstryonhaul#girly</t>
  </si>
  <si>
    <t>𐙚</t>
  </si>
  <si>
    <t>https://www.tiktok.com/@giselleerico</t>
  </si>
  <si>
    <t>Giselle</t>
  </si>
  <si>
    <t>giselleerico</t>
  </si>
  <si>
    <t>6928967742474257414</t>
  </si>
  <si>
    <r>
      <rPr>
        <u/>
        <sz val="12"/>
        <color rgb="FF1155CC"/>
        <rFont val="Calibri"/>
        <family val="2"/>
        <scheme val="minor"/>
      </rPr>
      <t>https://www.tiktok.com/@kylaleelee/video/7546597145021910327</t>
    </r>
  </si>
  <si>
    <t>CYRIL &amp; MOONLGHT &amp; The La's</t>
  </si>
  <si>
    <t>There She Goes</t>
  </si>
  <si>
    <t>https://p19-pu-sign-useast8.tiktokcdn-us.com/tos-useast5-p-0068-tx/oUiAIT6WfJ4E5ALGbOfIzm8AA6RfA8eCvm5GIh~tplv-tiktokx-dmt-logom:tos-useast5-i-0068-tx/os0AJV623B7EXAiI6B7IFm8AAXCnw4fCEM5BiC.image?dr=9634&amp;x-expires=1757631600&amp;x-signature=cABKRGdGgeImOTjf%2Bmw8JxvqTP4%3D&amp;t=4d5b0474&amp;ps=13740610&amp;shp=81f88b70&amp;shcp=43f4a2f9&amp;idc=useast8</t>
  </si>
  <si>
    <t>3 ways to wear the @SKIMS essential pant #skimspartner</t>
  </si>
  <si>
    <t>💌 contact@kylaleelamb.com</t>
  </si>
  <si>
    <t>https://www.tiktok.com/@kylaleelee</t>
  </si>
  <si>
    <t>Kyla Lee</t>
  </si>
  <si>
    <t>kylaleelee</t>
  </si>
  <si>
    <t>6776002785768981510</t>
  </si>
  <si>
    <r>
      <rPr>
        <u/>
        <sz val="12"/>
        <color rgb="FF1155CC"/>
        <rFont val="Calibri"/>
        <family val="2"/>
        <scheme val="minor"/>
      </rPr>
      <t>https://www.tiktok.com/@lifeewralphy/video/7488000564983385390</t>
    </r>
  </si>
  <si>
    <t>Turbo &amp; Gunna</t>
  </si>
  <si>
    <t>Classy Girl</t>
  </si>
  <si>
    <t>https://p16-sign.tiktokcdn-us.com/tos-useast5-p-0068-tx/ocqq4iBIJBzDexC5uwAXAoXjEPbcuBBiDOIAqA~tplv-tiktokx-origin.image?dr=9636&amp;x-expires=1757631600&amp;x-signature=IbtFvcF%2BnJ0MFQYutEl4SDPCWCY%3D&amp;t=4d5b0474&amp;ps=13740610&amp;shp=81f88b70&amp;shcp=43f4a2f9&amp;idc=useast5</t>
  </si>
  <si>
    <t>Always gonna a #skims @SKIMS girl 💕🫶🏾 Great quality and material🥰 #skim #skins #bawdy #bodyody</t>
  </si>
  <si>
    <t>Fitness| Beauty | lifestyle 🍒 💌promo@ralphinakilby.com @DFYNE ATHLETE DC:THICK</t>
  </si>
  <si>
    <t>https://www.tiktok.com/@lifeewralphy</t>
  </si>
  <si>
    <t>Ralphina K.</t>
  </si>
  <si>
    <t>lifeewralphy</t>
  </si>
  <si>
    <t>7386729837522289707</t>
  </si>
  <si>
    <r>
      <rPr>
        <u/>
        <sz val="12"/>
        <color rgb="FF1155CC"/>
        <rFont val="Calibri"/>
        <family val="2"/>
        <scheme val="minor"/>
      </rPr>
      <t>https://www.tiktok.com/@inspobytaylachee/video/7536025537030966558</t>
    </r>
  </si>
  <si>
    <t>Carlos Campos</t>
  </si>
  <si>
    <t>Param-Pam-Pam</t>
  </si>
  <si>
    <t>https://p19-pu-sign-useast8.tiktokcdn-us.com/tos-useast8-p-0068-tx2/oQOIwSiCUA3y8VK1C3uvVmAEBfAgiiAJDBA0qI~tplv-tiktokx-dmt-logom:tos-useast8-i-0068-tx2/o0iu1AN0SA61ijvAi9WqCIVBK8VfI2mACXHAEB.image?dr=9634&amp;x-expires=1757631600&amp;x-signature=PqovRZFyQkmE16NxIGtHdnFAEjg%3D&amp;t=4d5b0474&amp;ps=13740610&amp;shp=81f88b70&amp;shcp=43f4a2f9&amp;idc=useast5</t>
  </si>
  <si>
    <t>I’m grabbing them now before fall officially starts and my sizes are gone🤭 #fallloungewear #loungewearstyle #loungewear #skimsloungeset</t>
  </si>
  <si>
    <t>Your Nordy Girl SA 💌 DM to shop with me 📍 Scottsdale, AZ Ig:inspobytayla</t>
  </si>
  <si>
    <t>https://www.tiktok.com/@inspobytaylachee</t>
  </si>
  <si>
    <t>inspobytayla</t>
  </si>
  <si>
    <t>inspobytaylachee</t>
  </si>
  <si>
    <t>6908736297721234437</t>
  </si>
  <si>
    <r>
      <rPr>
        <u/>
        <sz val="12"/>
        <color rgb="FF1155CC"/>
        <rFont val="Calibri"/>
        <family val="2"/>
        <scheme val="minor"/>
      </rPr>
      <t>https://www.tiktok.com/@iamsydneythomas/video/7383118485867597099</t>
    </r>
  </si>
  <si>
    <t>Ella Langley</t>
  </si>
  <si>
    <t>you look like you love me</t>
  </si>
  <si>
    <t>https://p19-sign.tiktokcdn-us.com/tos-useast5-p-0068-tx/b42856c47d0b401ebe47f395f83f82d1_1719016237~tplv-tiktokx-origin.image?dr=9636&amp;x-expires=1757631600&amp;x-signature=a92MHAkCzcBR%2BoN5m3atUsQEhQA%3D&amp;t=4d5b0474&amp;ps=13740610&amp;shp=81f88b70&amp;shcp=43f4a2f9&amp;idc=useast5</t>
  </si>
  <si>
    <t>in honor of this song coming out today 🥂 🥂both shirts from @SKIMS</t>
  </si>
  <si>
    <t>🦋 TeamSydneyThomas@CAA.com</t>
  </si>
  <si>
    <t>https://www.tiktok.com/@iamsydneythomas</t>
  </si>
  <si>
    <t>Sydney Thomas</t>
  </si>
  <si>
    <t>iamsydneythomas</t>
  </si>
  <si>
    <t>6813610362987938821</t>
  </si>
  <si>
    <r>
      <rPr>
        <u/>
        <sz val="12"/>
        <color rgb="FF1155CC"/>
        <rFont val="Calibri"/>
        <family val="2"/>
        <scheme val="minor"/>
      </rPr>
      <t>https://www.tiktok.com/@lilyy_tolentino/video/7358205904640167199</t>
    </r>
  </si>
  <si>
    <t>vitor</t>
  </si>
  <si>
    <t>https://p16-common-sign-va.tiktokcdn-us.com/tos-maliva-i-e1os8tt47a-us/816bc2d5377d439b92e132c91888b7d6~tplv-tiktokx-origin.image?dr=9636&amp;x-expires=1757631600&amp;x-signature=rCuQ2jfq%2BTEctp1QFnZUEtbbMDE%3D&amp;t=4d5b0474&amp;ps=13740610&amp;shp=81f88b70&amp;shcp=43f4a2f9&amp;idc=useast5</t>
  </si>
  <si>
    <t>matching set for a comfy monday🤍⛅️😇 #ootd #outfit #matchingset #sets #clothes #clothing #fit #outfitideas #style #skims</t>
  </si>
  <si>
    <t>life of lily🐷🩷 outfit details⬇️⬇️ https://linktr.ee/lily.tolentino</t>
  </si>
  <si>
    <t>https://www.tiktok.com/@lilyy_tolentino</t>
  </si>
  <si>
    <t>lily🐷🎀🍣</t>
  </si>
  <si>
    <t>lilyy_tolentino</t>
  </si>
  <si>
    <t>6777947038488953862</t>
  </si>
  <si>
    <r>
      <rPr>
        <u/>
        <sz val="12"/>
        <color rgb="FF1155CC"/>
        <rFont val="Calibri"/>
        <family val="2"/>
        <scheme val="minor"/>
      </rPr>
      <t>https://www.tiktok.com/@kaylinriverabaer/video/7546769507897838879</t>
    </r>
  </si>
  <si>
    <t>𝐦𝐢𝐥𝐚𝐧𝐚❄️</t>
  </si>
  <si>
    <t>https://p19-pu-sign-useast8.tiktokcdn-us.com/tos-useast8-p-0068-tx2/o4R6qL7frC4IwAWjCI8IfvMCodIfAt82gSgMQQ~tplv-tiktokx-origin.image?dr=9636&amp;x-expires=1757631600&amp;x-signature=%2FxgcwVbVBkw0mVVcNPBVy04i1Uw%3D&amp;t=4d5b0474&amp;ps=13740610&amp;shp=81f88b70&amp;shcp=43f4a2f9&amp;idc=useast5</t>
  </si>
  <si>
    <t>I’m your #1 fan @SKIMS here’s me shooting my shot at getting on the PR list #skims #skimshaul #sponsorme #fyp</t>
  </si>
  <si>
    <t>@wilhelminamodels</t>
  </si>
  <si>
    <t>https://www.tiktok.com/@kaylinriverabaer</t>
  </si>
  <si>
    <t>Kaylin Rivera Baer</t>
  </si>
  <si>
    <t>kaylinriverabaer</t>
  </si>
  <si>
    <t>7430205150025958443</t>
  </si>
  <si>
    <r>
      <rPr>
        <u/>
        <sz val="12"/>
        <color rgb="FF1155CC"/>
        <rFont val="Calibri"/>
        <family val="2"/>
        <scheme val="minor"/>
      </rPr>
      <t>https://www.tiktok.com/@chelseasvanity/video/7537810770428529933</t>
    </r>
  </si>
  <si>
    <t>tessa de’nae:)</t>
  </si>
  <si>
    <t>https://p16-pu-sign-useast8.tiktokcdn-us.com/tos-useast5-p-0068-tx/oQ96wXgYWEcVO8uoAgCXIrIbf7Eu0BDSSDfRmF~tplv-tiktokx-origin.image?dr=9636&amp;x-expires=1757631600&amp;x-signature=uS07mCWjyIsuSFouGwGT49z%2Bf5c%3D&amp;t=4d5b0474&amp;ps=13740610&amp;shp=81f88b70&amp;shcp=43f4a2f9&amp;idc=useast5</t>
  </si>
  <si>
    <t>Skims new arrivals •COTTON JERSEY T-SHIRT| HALITE xxs •COTTON RIB T-SHIRT| CURRANT xxs COTTON RIB SET| CURRANT xxs @SKIMS #skims #chelseasvanity #skimsnewarrivals #skimstop #skimsset</t>
  </si>
  <si>
    <t>🍪 My Vanity's Pov🪞 💌 chelsea@idolsandicons.co 📸IG: @chesleeaa</t>
  </si>
  <si>
    <t>https://www.tiktok.com/@chelseasvanity</t>
  </si>
  <si>
    <t>Chelsea🪷</t>
  </si>
  <si>
    <t>chelseasvanity</t>
  </si>
  <si>
    <t>6993790182173475846</t>
  </si>
  <si>
    <r>
      <rPr>
        <u/>
        <sz val="12"/>
        <color rgb="FF1155CC"/>
        <rFont val="Calibri"/>
        <family val="2"/>
        <scheme val="minor"/>
      </rPr>
      <t>https://www.tiktok.com/@sugaringsnooopy/video/7547085040686042382</t>
    </r>
  </si>
  <si>
    <t>CORTIS</t>
  </si>
  <si>
    <t>GO!</t>
  </si>
  <si>
    <t>https://p16-pu-sign-useast8.tiktokcdn-us.com/tos-useast5-p-0068-tx/owDiBkQBi8gyar2IcCvNigBAH4EIyL3oJU3gG~tplv-tiktokx-origin.image?dr=9636&amp;x-expires=1757631600&amp;x-signature=vSkCsB%2BpmyOJf7sO%2BeWFkFp3qwA%3D&amp;t=4d5b0474&amp;ps=13740610&amp;shp=81f88b70&amp;shcp=43f4a2f9&amp;idc=useast5</t>
  </si>
  <si>
    <t>skims try on failed!! I love skims sm tho all of their clothes are so flattering👅👅 #skims #skimstryon #skimsreview #fyp #skimscottonjersey</t>
  </si>
  <si>
    <t>snoopyzen diaries</t>
  </si>
  <si>
    <t>https://www.tiktok.com/@sugaringsnooopy</t>
  </si>
  <si>
    <t>sugaringsnooopy</t>
  </si>
  <si>
    <t>6562318561564672006</t>
  </si>
  <si>
    <r>
      <rPr>
        <u/>
        <sz val="12"/>
        <color rgb="FF1155CC"/>
        <rFont val="Calibri"/>
        <family val="2"/>
        <scheme val="minor"/>
      </rPr>
      <t>https://www.tiktok.com/@taliafoti/video/7447218075172293930</t>
    </r>
  </si>
  <si>
    <t>ivy ౨ৎ</t>
  </si>
  <si>
    <t>https://p16-sign.tiktokcdn-us.com/tos-useast5-p-0068-tx/o4BrJEyIBdMqOB18wifWAWAAFi4gAzBCK1pIGZ~tplv-tiktokx-origin.image?dr=9636&amp;x-expires=1757631600&amp;x-signature=ej3pF%2FNn%2Fs05I0G0UrzWguilFLQ%3D&amp;t=4d5b0474&amp;ps=13740610&amp;shp=81f88b70&amp;shcp=43f4a2f9&amp;idc=useast5</t>
  </si>
  <si>
    <t>im NEVER letting this go, got this email weeks ago and im so excited to share this with you guys ❤️#skims</t>
  </si>
  <si>
    <t>you are SO loved wa / uarizona 💌: taliafotii@gmail.com</t>
  </si>
  <si>
    <t>https://www.tiktok.com/@taliafoti</t>
  </si>
  <si>
    <t>TALIA FOTI 💌</t>
  </si>
  <si>
    <t>taliafoti</t>
  </si>
  <si>
    <r>
      <rPr>
        <u/>
        <sz val="12"/>
        <color rgb="FF1155CC"/>
        <rFont val="Calibri"/>
        <family val="2"/>
        <scheme val="minor"/>
      </rPr>
      <t>https://www.tiktok.com/@snipestwins/video/7303343454619176222</t>
    </r>
  </si>
  <si>
    <t>Tate McRae</t>
  </si>
  <si>
    <t>exes</t>
  </si>
  <si>
    <t>https://p19-pu-sign-useast8.tiktokcdn-us.com/tos-useast8-p-0068-tx2/2277931cbc75469d8a6dc524cb7a7ffc_1700442168~tplv-tiktokx-origin.image?dr=9636&amp;x-expires=1757631600&amp;x-signature=rs0zdK38IAmESHpWgjgDMJwMm68%3D&amp;t=4d5b0474&amp;ps=13740610&amp;shp=81f88b70&amp;shcp=43f4a2f9&amp;idc=useast5</t>
  </si>
  <si>
    <t>IM SHOOK 😍 the viral skims cotton jersey set is on amazon! RUNNNNNNNN 🫣 #skims #skimsreview #skimscottonjersey #skimsfoldoverpants #skimsfoldoverpant #skimscottonjerseylongsleeve #skimscottonjerseyreview #skimscottonjerseytshirt #skimsonabudget</t>
  </si>
  <si>
    <t>7079241095311246382</t>
  </si>
  <si>
    <r>
      <rPr>
        <u/>
        <sz val="12"/>
        <color rgb="FF1155CC"/>
        <rFont val="Calibri"/>
        <family val="2"/>
        <scheme val="minor"/>
      </rPr>
      <t>https://www.tiktok.com/@maryelee24/video/7447578546605739295</t>
    </r>
  </si>
  <si>
    <t>🧍🏾‍♀️🧍🏾‍♀️</t>
  </si>
  <si>
    <t>https://p16-common-sign-va.tiktokcdn-us.com/tos-maliva-i-e1os8tt47a-us/ebd615ef5b444bdd8da70045c6d3a3a6~tplv-tiktokx-origin.image?dr=9636&amp;x-expires=1757631600&amp;x-signature=Okja1diERXbDSuHApLe8HVeq3ik%3D&amp;t=4d5b0474&amp;ps=13740610&amp;shp=81f88b70&amp;shcp=43f4a2f9&amp;idc=useast5</t>
  </si>
  <si>
    <t>This skims &amp; North face collab is everythingggggf #skims #northface @SKIMS</t>
  </si>
  <si>
    <t>Insta &amp; Twitter @maryelee24_ 🇩🇴🇵🇷 A Philly girl in this crazy world</t>
  </si>
  <si>
    <t>https://www.tiktok.com/@maryelee24</t>
  </si>
  <si>
    <t>Maryeleeee</t>
  </si>
  <si>
    <t>maryelee24</t>
  </si>
  <si>
    <t>6892183316483163142</t>
  </si>
  <si>
    <r>
      <rPr>
        <u/>
        <sz val="12"/>
        <color rgb="FF1155CC"/>
        <rFont val="Calibri"/>
        <family val="2"/>
        <scheme val="minor"/>
      </rPr>
      <t>https://www.tiktok.com/@frankiebleau/video/7445045833231420718</t>
    </r>
  </si>
  <si>
    <t>Frankie Bleau</t>
  </si>
  <si>
    <t>https://p19-pu-sign-useast8.tiktokcdn-us.com/tos-useast5-p-0068-tx/oMlHcAAqzBBcT7OSB8iiw7BgCqAIJHAIE2fFJQ~tplv-tiktokx-origin.image?dr=9636&amp;x-expires=1757631600&amp;x-signature=IE9kHm7fEp1D6Eep8jsVv%2Banolo%3D&amp;t=4d5b0474&amp;ps=13740610&amp;shp=81f88b70&amp;shcp=43f4a2f9&amp;idc=useast5</t>
  </si>
  <si>
    <t>Let me gone head and prepare myself, cause i cam already see where dis is heading</t>
  </si>
  <si>
    <t>Fashions &amp; Funnies shop @Rich Etiquette🍒 biz: connect@frankiebleau.com</t>
  </si>
  <si>
    <t>https://www.tiktok.com/@frankiebleau</t>
  </si>
  <si>
    <t>frankiebleau</t>
  </si>
  <si>
    <t>6947008320479069189</t>
  </si>
  <si>
    <r>
      <rPr>
        <u/>
        <sz val="12"/>
        <color rgb="FF1155CC"/>
        <rFont val="Calibri"/>
        <family val="2"/>
        <scheme val="minor"/>
      </rPr>
      <t>https://www.tiktok.com/@michaelacjacobs/video/7546318980458253582</t>
    </r>
  </si>
  <si>
    <t>Michaela Jacobs</t>
  </si>
  <si>
    <t>https://p19-sign.tiktokcdn-us.com/tos-useast5-p-0068-tx/ogzMfADcW6uHTFjCRzqlkCkIAIJ5CjEIuXeeES~tplv-tiktokx-origin.image?dr=9636&amp;x-expires=1757631600&amp;x-signature=CeRcoYuiT5hBzb4r2I3kIK17jdA%3D&amp;t=4d5b0474&amp;ps=13740610&amp;shp=81f88b70&amp;shcp=43f4a2f9&amp;idc=useast5</t>
  </si>
  <si>
    <t>capris are SO back @SKIMS 🖤 buttery soft &amp; flattering in all the right spots, these are such a cute pant option for end of summer/ fall (so easy to style up or down) #skimspartner #capris #fallfashion #falloutfits</t>
  </si>
  <si>
    <t>a safe space for cute outfits 🇵🇪🇯🇵 in📍AZ 💌 @digitalbrandarchitects</t>
  </si>
  <si>
    <t>https://www.tiktok.com/@michaelacjacobs</t>
  </si>
  <si>
    <t>michaelacjacobs</t>
  </si>
  <si>
    <t>6747014500413457413</t>
  </si>
  <si>
    <r>
      <rPr>
        <u/>
        <sz val="12"/>
        <color rgb="FF1155CC"/>
        <rFont val="Calibri"/>
        <family val="2"/>
        <scheme val="minor"/>
      </rPr>
      <t>https://www.tiktok.com/@justinescameraroll/video/7292447426986773803</t>
    </r>
  </si>
  <si>
    <t>Justine’s Camera Roll 📸✨</t>
  </si>
  <si>
    <t>https://p19-pu-sign-useast8.tiktokcdn-us.com/tos-useast5-p-0068-tx/ae188a5d6fd3427ebfe0d9be184d7e45_1697905249~tplv-tiktokx-dmt-logom:tos-useast5-i-0068-tx/oAFL6RJfIgGIBSA7WeKhnQfyUlAe2G3FzAIAAO.image?dr=9634&amp;x-expires=1757631600&amp;x-signature=7zaoBDEbUoNY0oRMVKYaxJBcdGI%3D&amp;t=4d5b0474&amp;ps=13740610&amp;shp=81f88b70&amp;shcp=43f4a2f9&amp;idc=useast5</t>
  </si>
  <si>
    <t>influencer update: SKIMS as my first clothing collab is sm fun!! #microinfluencertiktok #tiktokgrowth #tiktokgrowthtips #nanoinfluencer #skims @SKIMS</t>
  </si>
  <si>
    <t>✨ welcome 2 the BTS of influencing ✨ Los Angeles 📧 justinescr@kensingtongrey.co</t>
  </si>
  <si>
    <t>https://www.tiktok.com/@justinescameraroll</t>
  </si>
  <si>
    <t>justinescameraroll</t>
  </si>
  <si>
    <t>6763249151401690117</t>
  </si>
  <si>
    <r>
      <rPr>
        <u/>
        <sz val="12"/>
        <color rgb="FF1155CC"/>
        <rFont val="Calibri"/>
        <family val="2"/>
        <scheme val="minor"/>
      </rPr>
      <t>https://www.tiktok.com/@clairegrossman/video/7267210072080600362</t>
    </r>
  </si>
  <si>
    <t>LAKEY INSPIRED</t>
  </si>
  <si>
    <t>Warm Nights</t>
  </si>
  <si>
    <t>https://p16-pu-sign-useast8.tiktokcdn-us.com/tos-useast5-p-0068-tx/d7ffac378c064b0d98b8c0ec42093fb5_1692029218~tplv-tiktokx-origin.image?dr=9636&amp;x-expires=1757631600&amp;x-signature=6q8%2Bv22VpL9cjR%2FfoHmU6%2FhKbUs%3D&amp;t=4d5b0474&amp;ps=13740610&amp;shp=81f88b70&amp;shcp=43f4a2f9&amp;idc=useast5</t>
  </si>
  <si>
    <t>Younger me is so excited to finally have a bra that fits my sizing thanks to @skims ultimate bra! The Ultimate Bra by @SKIMS dropping 8/17 at 9 AM PT #ad #bestbra #pushupbra #bratryon</t>
  </si>
  <si>
    <t>New York clairegrossmanbusiness@gmail.com</t>
  </si>
  <si>
    <t>https://www.tiktok.com/@clairegrossman</t>
  </si>
  <si>
    <t>Claire Grossman</t>
  </si>
  <si>
    <t>clairegrossman</t>
  </si>
  <si>
    <t>6810585509745558533</t>
  </si>
  <si>
    <r>
      <rPr>
        <u/>
        <sz val="12"/>
        <color rgb="FF1155CC"/>
        <rFont val="Calibri"/>
        <family val="2"/>
        <scheme val="minor"/>
      </rPr>
      <t>https://www.tiktok.com/@michelletok/video/7352975457869909291</t>
    </r>
  </si>
  <si>
    <t>michelle</t>
  </si>
  <si>
    <t>https://p19-pu-sign-useast8.tiktokcdn-us.com/tos-useast5-p-0068-tx/osBg28CuAFJEwrSmRTUBDPp3IEQeIDFWkwgCfD~tplv-tiktokx-dmt-logom:tos-useast5-i-0068-tx/ooIBBf4gCiqJIEBtVAzwiBCLENIYAAxEABGA7k.image?dr=9634&amp;x-expires=1757631600&amp;x-signature=w9wHbOe43oiA1nYHur51DItsuwc%3D&amp;t=4d5b0474&amp;ps=13740610&amp;shp=81f88b70&amp;shcp=43f4a2f9&amp;idc=useast5</t>
  </si>
  <si>
    <t>#SabrinaCarpenter stuns in new #SKIMS campaign, some #Swifties aren’t happy, but how does #TaylorSwift feel? #popculturenews #swifttok #lanadelrey</t>
  </si>
  <si>
    <t>just living that life📍chicago all opinions 💌 michellepostsig@gmail.com</t>
  </si>
  <si>
    <t>https://www.tiktok.com/@michelletok</t>
  </si>
  <si>
    <t>michelletok</t>
  </si>
  <si>
    <t>267008796236099584</t>
  </si>
  <si>
    <r>
      <rPr>
        <u/>
        <sz val="12"/>
        <color rgb="FF1155CC"/>
        <rFont val="Calibri"/>
        <family val="2"/>
        <scheme val="minor"/>
      </rPr>
      <t>https://www.tiktok.com/@sophiecharlotth/video/7487989383404981526</t>
    </r>
  </si>
  <si>
    <t>lush life</t>
  </si>
  <si>
    <t>https://p16-pu-sign-no.tiktokcdn-eu.com/tos-no1a-p-0037-no/oITz7uudAAA0AI8TwEiFerSBrv3vPqqiCCBDqI~tplv-tiktokx-origin.image?dr=10395&amp;x-expires=1757631600&amp;x-signature=CV4DMlvQXk9Z6JMH0Z60N%2F1QpaM%3D&amp;t=4d5b0474&amp;ps=13740610&amp;shp=81f88b70&amp;shcp=43f4a2f9&amp;idc=no1a</t>
  </si>
  <si>
    <t>Die meisten meiner basic Tops und Tshirts sind übrigens alle von @SKIMS !!🤍 #skimspartner</t>
  </si>
  <si>
    <t>Ja hallo erstmal :) mein Instagram ist cooler 🤍 💌 sophiecharlotth@nc-agency.de</t>
  </si>
  <si>
    <t>https://www.tiktok.com/@sophiecharlotth</t>
  </si>
  <si>
    <t>sophie</t>
  </si>
  <si>
    <t>sophiecharlotth</t>
  </si>
  <si>
    <t>6710486594891334662</t>
  </si>
  <si>
    <r>
      <rPr>
        <u/>
        <sz val="12"/>
        <color rgb="FF1155CC"/>
        <rFont val="Calibri"/>
        <family val="2"/>
        <scheme val="minor"/>
      </rPr>
      <t>https://www.tiktok.com/@liv.yah/video/7399019466476096800</t>
    </r>
  </si>
  <si>
    <t>Carl</t>
  </si>
  <si>
    <t>911 Emergency</t>
  </si>
  <si>
    <t>https://p19-common-sign-useastred.tiktokcdn-eu.com/tos-useast2a-p-0037-euttp/a0ff9cbe67764c2a9a227ec809985b60_1722718474~tplv-tiktokx-origin.image?dr=10395&amp;x-expires=1757631600&amp;x-signature=M%2F5X%2FF5mkxTzM1htc0vxcZw478k%3D&amp;t=4d5b0474&amp;ps=13740610&amp;shp=81f88b70&amp;shcp=43f4a2f9&amp;idc=no1a</t>
  </si>
  <si>
    <t>skims vs. amazon pink dress edition 🎀💗 welches kleid sieht besser aus? ⬇️ das amazon dupe findet ihr in meinem amazon highlight abgespeichert 🫶🏼 *anzeige editing credit: @Chriena 🤍 #skims #skimsdupe #skimsdress #amazon #amazonde #amazonfinds #amazonfashion #amazonmusthaves #amazondress #pinkdress #slipdress #dress #fashioninspo #fashioninspiration #outfitinspiration #summerdress #summeroutfit #sommerkleid #sommeroutfit #kleid</t>
  </si>
  <si>
    <t>euer coffee &amp; cocktail girl IG: @liv.yah (555k+) AMAZON STOREFRONT ⬇️</t>
  </si>
  <si>
    <t>https://www.tiktok.com/@liv.yah</t>
  </si>
  <si>
    <t>liv.yah</t>
  </si>
  <si>
    <r>
      <rPr>
        <u/>
        <sz val="12"/>
        <color rgb="FF1155CC"/>
        <rFont val="Calibri"/>
        <family val="2"/>
        <scheme val="minor"/>
      </rPr>
      <t>https://www.tiktok.com/@aimeejaihall/video/7413105861826055431</t>
    </r>
  </si>
  <si>
    <t>The Dare</t>
  </si>
  <si>
    <t>Girls</t>
  </si>
  <si>
    <t>https://p16-sign-sg.tiktokcdn.com/tos-alisg-p-0037/ba50fcd5795240b78b03413d1b261dda_1725998226~tplv-tiktokx-origin.image?dr=10395&amp;x-expires=1757631600&amp;x-signature=ghWugWTOv6cE3BLN58x0UihzclM%3D&amp;t=4d5b0474&amp;ps=13740610&amp;shp=81f88b70&amp;shcp=43f4a2f9&amp;idc=no1a</t>
  </si>
  <si>
    <t>since you guys love the skims videos sm here's another one 🙂🙂🙂 @SKIMS #fyp #skims #skimspartner</t>
  </si>
  <si>
    <t>7109536715148395526</t>
  </si>
  <si>
    <r>
      <rPr>
        <u/>
        <sz val="12"/>
        <color rgb="FF1155CC"/>
        <rFont val="Calibri"/>
        <family val="2"/>
        <scheme val="minor"/>
      </rPr>
      <t>https://www.tiktok.com/@lucillefletcher/video/7481015960325967126</t>
    </r>
  </si>
  <si>
    <t>thirteendegreez</t>
  </si>
  <si>
    <t>Thirteendegrees DA PROBLEM SOLVA</t>
  </si>
  <si>
    <t>https://p16-pu-sign-no.tiktokcdn-eu.com/tos-no1a-p-0037-no/oIeI7oAG6FXwAFIAzP1kjwAAhEI4fLnDQj0Mjf~tplv-tiktokx-origin.image?dr=10395&amp;x-expires=1757631600&amp;x-signature=DxD%2FhQG437SKlCskT5WV3kbWjTM%3D&amp;t=4d5b0474&amp;ps=13740610&amp;shp=81f88b70&amp;shcp=43f4a2f9&amp;idc=no1a</t>
  </si>
  <si>
    <t>Green is in ! 🤘💸 #ootd #lowrisepants #skimspartner #flaredpants #relatable #manifestation #basicoutfit #basicoutfitideas #workoutfit #outfitinspo #outfitideas #CapCut</t>
  </si>
  <si>
    <t>I do it for the Girls 💋collabwithlucille@gmail.com</t>
  </si>
  <si>
    <t>https://www.tiktok.com/@lucillefletcher</t>
  </si>
  <si>
    <t>lucille</t>
  </si>
  <si>
    <t>lucillefletcher</t>
  </si>
  <si>
    <t>6741712048101098502</t>
  </si>
  <si>
    <r>
      <rPr>
        <u/>
        <sz val="12"/>
        <color rgb="FF1155CC"/>
        <rFont val="Calibri"/>
        <family val="2"/>
        <scheme val="minor"/>
      </rPr>
      <t>https://www.tiktok.com/@tennesseethresh/video/7330361124044492064</t>
    </r>
  </si>
  <si>
    <t>tennesseethresh</t>
  </si>
  <si>
    <t>https://p19-common-sign-useastred.tiktokcdn-eu.com/tos-useast2a-p-0037-euttp/1b9a54611a934efbabc30c4341dbf92e_1706732706~tplv-tiktokx-origin.image?dr=10395&amp;x-expires=1757631600&amp;x-signature=qZ%2BujkX059UqnqI4GhDHRWY%2F1qU%3D&amp;t=4d5b0474&amp;ps=13740610&amp;shp=81f88b70&amp;shcp=43f4a2f9&amp;idc=no1a</t>
  </si>
  <si>
    <t>Anything @SKIMS 🤝🏾 #skimspartner</t>
  </si>
  <si>
    <t>Tennessee@hldtalent.com</t>
  </si>
  <si>
    <t>https://www.tiktok.com/@tennesseethresh</t>
  </si>
  <si>
    <t>6951218471652901893</t>
  </si>
  <si>
    <r>
      <rPr>
        <u/>
        <sz val="12"/>
        <color rgb="FF1155CC"/>
        <rFont val="Calibri"/>
        <family val="2"/>
        <scheme val="minor"/>
      </rPr>
      <t>https://www.tiktok.com/@nickimariex/video/7320344268529356075</t>
    </r>
  </si>
  <si>
    <t>Stunna Girl</t>
  </si>
  <si>
    <t>Like Dat Remix (feat. JT)</t>
  </si>
  <si>
    <t>https://p16-sign.tiktokcdn-us.com/tos-useast5-p-0068-tx/oMRD2BEZ4BgaUWAcBCXUEIwTYCPFhPinDxBiZ~tplv-tiktokx-dmt-logom:tos-useast5-i-0068-tx/oYXEaEFl4IDHw0AAZ2AgfIEaluQHRfuDSAOxLC.image?dr=10393&amp;x-expires=1757631600&amp;x-signature=R5Pr%2FXa6lRMQodxru6td2Imcu5A%3D&amp;t=4d5b0474&amp;ps=13740610&amp;shp=81f88b70&amp;shcp=43f4a2f9&amp;idc=no1a</t>
  </si>
  <si>
    <t>And its tall girl friendly, Im 5’6 😍 #skimsdress #longdress #pumiey</t>
  </si>
  <si>
    <t>beauty fashion fitness ❦ dominicana nicki@socialcasaco.com</t>
  </si>
  <si>
    <t>https://www.tiktok.com/@nickimariex</t>
  </si>
  <si>
    <t>nicki marie</t>
  </si>
  <si>
    <t>nickimariex</t>
  </si>
  <si>
    <t>6833467643014480901</t>
  </si>
  <si>
    <r>
      <rPr>
        <u/>
        <sz val="12"/>
        <color rgb="FF1155CC"/>
        <rFont val="Calibri"/>
        <family val="2"/>
        <scheme val="minor"/>
      </rPr>
      <t>https://www.tiktok.com/@tiannasaunderss/video/7457261757195668768</t>
    </r>
  </si>
  <si>
    <t>TIANNA.</t>
  </si>
  <si>
    <t>https://p19-common-sign-useastred.tiktokcdn-eu.com/tos-useast2a-p-0037-euttp/oIg9KYovfAEXEIBKABIzzBB8hihHiCA70sAIX4~tplv-tiktokx-origin.image?dr=10395&amp;x-expires=1757631600&amp;x-signature=6Id88FtWUuwUmlFeb6C6isixEPY%3D&amp;t=4d5b0474&amp;ps=13740610&amp;shp=81f88b70&amp;shcp=43f4a2f9&amp;idc=no1a</t>
  </si>
  <si>
    <t>@SKIMS wearing the long sleeve crew neck bodysuit✨🖤 @playinfluencermanagement #fypシ #fyp #viral #relatable #skims #skimsfitseverybody #fallfashion #skimspartner #fyp</t>
  </si>
  <si>
    <t>Model 🖤 Fashion | Lifestyle | Mindset MGMT: @playinfluencermanagement</t>
  </si>
  <si>
    <t>https://www.tiktok.com/@tiannasaunderss</t>
  </si>
  <si>
    <t>tiannasaunderss</t>
  </si>
  <si>
    <t>6781995063850386437</t>
  </si>
  <si>
    <r>
      <rPr>
        <u/>
        <sz val="12"/>
        <color rgb="FF1155CC"/>
        <rFont val="Calibri"/>
        <family val="2"/>
        <scheme val="minor"/>
      </rPr>
      <t>https://www.tiktok.com/@devlassiter/video/7397093628985740575</t>
    </r>
  </si>
  <si>
    <t>https://p16-pu-sign-useast8.tiktokcdn-us.com/tos-useast8-p-0068-tx2/19d5e5b98ec940648b9c133ab46c5446_1722270093~tplv-tiktokx-dmt-logom:tos-useast8-i-0068-tx2/okGMqAfqVpQAogRFEJAKIkFEUPABAmPxDKE8Cf.image?dr=10393&amp;x-expires=1757631600&amp;x-signature=EMOD5RA6UxmTHZdTIGx975Bdwfs%3D&amp;t=4d5b0474&amp;ps=13740610&amp;shp=81f88b70&amp;shcp=43f4a2f9&amp;idc=no1a</t>
  </si>
  <si>
    <t>Get dressed with me | @SKIMS Relaxed Tees drops 7/31 at 9 AM PST 🤍#skimspartner #capsulewardrobe #besttshirt</t>
  </si>
  <si>
    <t>outfit diary | devlassiter@yahoo.com</t>
  </si>
  <si>
    <t>https://www.tiktok.com/@devlassiter</t>
  </si>
  <si>
    <t>devlassiter</t>
  </si>
  <si>
    <t>6993781137206838278</t>
  </si>
  <si>
    <r>
      <rPr>
        <u/>
        <sz val="12"/>
        <color rgb="FF1155CC"/>
        <rFont val="Calibri"/>
        <family val="2"/>
        <scheme val="minor"/>
      </rPr>
      <t>https://www.tiktok.com/@styledbyreem/video/7413158530607320351</t>
    </r>
  </si>
  <si>
    <t>dietcherrycola</t>
  </si>
  <si>
    <t>Rory Gilmore Fall</t>
  </si>
  <si>
    <t>https://p16-pu-sign-useast8.tiktokcdn-us.com/tos-useast8-p-0068-tx2/c17322ba0cf0483c97a1ac9aaff04296_1726010488~tplv-tiktokx-origin.image?dr=10395&amp;x-expires=1757631600&amp;x-signature=NY09Pk2EXg3UT2LFPF14jtOvgw0%3D&amp;t=4d5b0474&amp;ps=13740610&amp;shp=81f88b70&amp;shcp=43f4a2f9&amp;idc=no1a</t>
  </si>
  <si>
    <t>skims can take all my money @SKIMS #skimspartner #skimsshaperwear #fallessentials #tryonhaul #shapewear #espresso #bodysuit #falloutfits</t>
  </si>
  <si>
    <t>Fashion + lifestyle 💌 reembasma1018@gmail.com</t>
  </si>
  <si>
    <t>https://www.tiktok.com/@styledbyreem</t>
  </si>
  <si>
    <t>styledbyreem</t>
  </si>
  <si>
    <t>7130655633111843846</t>
  </si>
  <si>
    <r>
      <rPr>
        <u/>
        <sz val="12"/>
        <color rgb="FF1155CC"/>
        <rFont val="Calibri"/>
        <family val="2"/>
        <scheme val="minor"/>
      </rPr>
      <t>https://www.tiktok.com/@lucia.saanchezz/video/7483997891669789974</t>
    </r>
  </si>
  <si>
    <t>sunnyrained</t>
  </si>
  <si>
    <t>busy woman</t>
  </si>
  <si>
    <t>https://p16-pu-sign-no.tiktokcdn-eu.com/tos-no1a-p-0037-no/owfUEA5ERkqfjBGoAgAI6QA3IA5nizDD7vNFFC~tplv-tiktokx-origin.image?dr=10395&amp;x-expires=1757631600&amp;x-signature=dqvjp0TWJQAKDoLdJcipHMwKJcc%3D&amp;t=4d5b0474&amp;ps=13740610&amp;shp=81f88b70&amp;shcp=43f4a2f9&amp;idc=no1a</t>
  </si>
  <si>
    <t>skims unboxing 💘💘 gracias alejandro por tu colaboración y por el top !!!😘 #skims #ubboxing #skimsreview #haul #unboxing #skimsunboxing #clothes #top #skimstop #kimkardashian @SKIMS #fyp #beauty</t>
  </si>
  <si>
    <t>beauty and brainzz🫦 💌infoluciasanchez7@gmail.com</t>
  </si>
  <si>
    <t>https://www.tiktok.com/@lucia.saanchezz</t>
  </si>
  <si>
    <t>lucia.saanchezz</t>
  </si>
  <si>
    <t>6877260755101008897</t>
  </si>
  <si>
    <r>
      <rPr>
        <u/>
        <sz val="12"/>
        <color rgb="FF1155CC"/>
        <rFont val="Calibri"/>
        <family val="2"/>
        <scheme val="minor"/>
      </rPr>
      <t>https://www.tiktok.com/@petitejuan/video/7426422301219949829</t>
    </r>
  </si>
  <si>
    <t>Juan</t>
  </si>
  <si>
    <t>https://p16-sign-va.tiktokcdn.com/tos-maliva-p-0068/eff18f9cd0484c51bf8a77dc2a9c6db8_1729098697~tplv-tiktokx-origin.image?dr=10395&amp;x-expires=1757631600&amp;x-signature=9%2BfyrN2L%2FqvWL8m5cTemaNBeHOw%3D&amp;t=4d5b0474&amp;ps=13740610&amp;shp=81f88b70&amp;shcp=43f4a2f9&amp;idc=no1a</t>
  </si>
  <si>
    <t>you're welcome girls @SKIMS #skimspartner #skimsultimatebra</t>
  </si>
  <si>
    <t>Insta: @juanita.ma 🎀🏹🦢 MTL IT GIRL🍸💋🦓 Shop my 'It Girl' Essentials ↓</t>
  </si>
  <si>
    <t>https://www.tiktok.com/@petitejuan</t>
  </si>
  <si>
    <t>petitejuan</t>
  </si>
  <si>
    <t>6630626124147900422</t>
  </si>
  <si>
    <r>
      <rPr>
        <u/>
        <sz val="12"/>
        <color rgb="FF1155CC"/>
        <rFont val="Calibri"/>
        <family val="2"/>
        <scheme val="minor"/>
      </rPr>
      <t>https://www.tiktok.com/@samandjessofficial/video/7293232649076886827</t>
    </r>
  </si>
  <si>
    <t>Sam &amp; Jess</t>
  </si>
  <si>
    <t>https://p16-sign.tiktokcdn-us.com/tos-useast5-p-0068-tx/70d6907c23dd45c49a058c57ec88b264_1698088068~tplv-tiktokx-dmt-logom:tos-useast5-i-0068-tx/oUIgBRJvEAAi2SAEZgbVTBZ2xkiE1IA4QACY1.image?dr=10393&amp;x-expires=1757631600&amp;x-signature=VWAPycPMo8I1S62GOqdjuQ8TJhw%3D&amp;t=4d5b0474&amp;ps=13740610&amp;shp=81f88b70&amp;shcp=43f4a2f9&amp;idc=no1a</t>
  </si>
  <si>
    <t>He was being so patient 😂 @SKIMS #skimspartner #samandjess #couples</t>
  </si>
  <si>
    <t>@Sam Jose @Jessica Baio 📩 sam&amp;jessteam@unitedtalent.com</t>
  </si>
  <si>
    <t>https://www.tiktok.com/@samandjessofficial</t>
  </si>
  <si>
    <t>samandjessofficial</t>
  </si>
  <si>
    <t>6689910767892382725</t>
  </si>
  <si>
    <r>
      <rPr>
        <u/>
        <sz val="12"/>
        <color rgb="FF1155CC"/>
        <rFont val="Calibri"/>
        <family val="2"/>
        <scheme val="minor"/>
      </rPr>
      <t>https://www.tiktok.com/@layla.whitlock/video/7314816027831831838</t>
    </r>
  </si>
  <si>
    <t>https://p16-pu-sign-useast8.tiktokcdn-us.com/tos-useast8-p-0068-tx2/oA3AXAimPdBzKlA8B2wNiN8if6qBuyIBw9E57v~tplv-tiktokx-origin.image?dr=10395&amp;x-expires=1757631600&amp;x-signature=dupOqQTAxJ9MDcNwqEmN3YM5Erw%3D&amp;t=4d5b0474&amp;ps=13740610&amp;shp=81f88b70&amp;shcp=43f4a2f9&amp;idc=no1a</t>
  </si>
  <si>
    <t>Obsessed with this @SKIMS dress!!! Literally fits perfectly 👏🏾👏🏾 #skims #kimkardashian #skimsdress #skimsreview #skimstryon #kardashians #ootd #ootn</t>
  </si>
  <si>
    <t>MN | 23 Persian 🇮🇷 Insta: Layla09rose</t>
  </si>
  <si>
    <t>https://www.tiktok.com/@layla.whitlock</t>
  </si>
  <si>
    <t>Layla Whitlock</t>
  </si>
  <si>
    <t>layla.whitlock</t>
  </si>
  <si>
    <t>7288023221575943200</t>
  </si>
  <si>
    <r>
      <rPr>
        <u/>
        <sz val="12"/>
        <color rgb="FF1155CC"/>
        <rFont val="Calibri"/>
        <family val="2"/>
        <scheme val="minor"/>
      </rPr>
      <t>https://www.tiktok.com/@its.kyky0/video/7450548746917514518</t>
    </r>
  </si>
  <si>
    <t>JAY1</t>
  </si>
  <si>
    <t>Prettier</t>
  </si>
  <si>
    <t>https://p16-pu-sign-no.tiktokcdn-eu.com/tos-no1a-p-0037-no/o8ZpKnIdLiBBSiY1BJAE5cy2EyiB1CYAAZAPE~tplv-tiktokx-origin.image?dr=10395&amp;x-expires=1757631600&amp;x-signature=FkgHkP1D%2FxoWRYkHCmvirxvln2o%3D&amp;t=4d5b0474&amp;ps=13740610&amp;shp=81f88b70&amp;shcp=43f4a2f9&amp;idc=no1a</t>
  </si>
  <si>
    <t>@SKIMS obsessed with this t-shirt 😍 #skims #skimshaul #skimstop #fitseverybodyskims #skimsbra</t>
  </si>
  <si>
    <t>https://www.tiktok.com/@its.kyky0</t>
  </si>
  <si>
    <t>its.kyky0</t>
  </si>
  <si>
    <t>7237921555442484267</t>
  </si>
  <si>
    <r>
      <rPr>
        <u/>
        <sz val="12"/>
        <color rgb="FF1155CC"/>
        <rFont val="Calibri"/>
        <family val="2"/>
        <scheme val="minor"/>
      </rPr>
      <t>https://www.tiktok.com/@abbygoospam/video/7537406102342765854</t>
    </r>
  </si>
  <si>
    <t>abbygoospam</t>
  </si>
  <si>
    <t>https://p16-pu-sign-useast8.tiktokcdn-us.com/tos-useast8-p-0068-tx2/o8i9vAF0TACkideAi5hRCIPBKqavIlLACAhAEB~tplv-tiktokx-dmt-logom:tos-useast8-i-0068-tx2/ooD5AEwA7IPm5FvEkVmfC3BvAeALCRAPaoEjAE.image?dr=10393&amp;x-expires=1757631600&amp;x-signature=CSdguNTM5zJg3mjdeDM6nGS4yb4%3D&amp;t=4d5b0474&amp;ps=13740610&amp;shp=81f88b70&amp;shcp=43f4a2f9&amp;idc=no1a</t>
  </si>
  <si>
    <t>they’re also linked in my bio! @SKIMS #skimspartner</t>
  </si>
  <si>
    <t>welcome to my video diary abbyguolla@gmail.com</t>
  </si>
  <si>
    <t>https://www.tiktok.com/@abbygoospam</t>
  </si>
  <si>
    <t>6764212964603954181</t>
  </si>
  <si>
    <r>
      <rPr>
        <u/>
        <sz val="12"/>
        <color rgb="FF1155CC"/>
        <rFont val="Calibri"/>
        <family val="2"/>
        <scheme val="minor"/>
      </rPr>
      <t>https://www.tiktok.com/@alexlee.zia/video/7527515820843339039</t>
    </r>
  </si>
  <si>
    <t>alexlee.zia</t>
  </si>
  <si>
    <t>https://p16-pu-sign-useast8.tiktokcdn-us.com/tos-useast8-p-0068-tx2/oYbR5IH8vlEmACiGilwIN3NcAEBaBVbA8B5Ud~tplv-tiktokx-origin.image?dr=10395&amp;x-expires=1757631600&amp;x-signature=JM0a3LWMdbgmlkFZp5H2WdyVbT4%3D&amp;t=4d5b0474&amp;ps=13740610&amp;shp=81f88b70&amp;shcp=43f4a2f9&amp;idc=no1a</t>
  </si>
  <si>
    <t>SKIMS Smooth Layers Collection @SKIMS #skimspartner #outfitideas #ootd #tanktop</t>
  </si>
  <si>
    <t>outfits | lifestyle 📧 alexlee.zia@gmail.com</t>
  </si>
  <si>
    <t>https://www.tiktok.com/@alexlee.zia</t>
  </si>
  <si>
    <t>6805891208969569286</t>
  </si>
  <si>
    <r>
      <rPr>
        <u/>
        <sz val="12"/>
        <color rgb="FF1155CC"/>
        <rFont val="Calibri"/>
        <family val="2"/>
        <scheme val="minor"/>
      </rPr>
      <t>https://www.tiktok.com/@miikall_/video/7291336186264554785</t>
    </r>
  </si>
  <si>
    <t>Cassie</t>
  </si>
  <si>
    <t>Long Way 2 Go (Instrumental)</t>
  </si>
  <si>
    <t>https://p19-common-sign-useastred.tiktokcdn-eu.com/tos-useast2a-p-0037-euttp/930d89e7f6f7447c97d57ff345456e41_1697646504~tplv-tiktokx-dmt-logom:tos-useast2a-i-0068-euttp/ocDjbaIwTApDAGnOIgbfeXAeAeEM6ATkGAYKBI.image?dr=10393&amp;x-expires=1757631600&amp;x-signature=6drsz293CilO3YSbF1CoVgHTmuY%3D&amp;t=4d5b0474&amp;ps=13740610&amp;shp=81f88b70&amp;shcp=43f4a2f9&amp;idc=no1a</t>
  </si>
  <si>
    <t>Semsless scuplting high wasit leggings from skimss gives you a free booty lift 😌 #skims #skimsreview #skimsdress #skimsleggings #sculptingleggings</t>
  </si>
  <si>
    <t>🌸🌸🌸🌸🌸</t>
  </si>
  <si>
    <t>https://www.tiktok.com/@miikall_</t>
  </si>
  <si>
    <t>miikal</t>
  </si>
  <si>
    <t>miikall_</t>
  </si>
  <si>
    <t>6790031252043334661</t>
  </si>
  <si>
    <r>
      <rPr>
        <u/>
        <sz val="12"/>
        <color rgb="FF1155CC"/>
        <rFont val="Calibri"/>
        <family val="2"/>
        <scheme val="minor"/>
      </rPr>
      <t>https://www.tiktok.com/@belikemonica/video/7378947188249906478</t>
    </r>
  </si>
  <si>
    <t>https://p16-sign.tiktokcdn-us.com/tos-useast5-p-0068-tx/395b0ab34b3b443c8c1e76f7aaeb6697_1718045032~tplv-tiktokx-origin.image?dr=10395&amp;x-expires=1757631600&amp;x-signature=yCs%2BnZ%2FRo%2F6fHDJjVThR78dC55E%3D&amp;t=4d5b0474&amp;ps=13740610&amp;shp=81f88b70&amp;shcp=43f4a2f9&amp;idc=no1a</t>
  </si>
  <si>
    <t>@SKIMS Cotton Lace drops 6/13 at 9 AM PST 💌#skimspartner #summerstyle #outfitinspo</t>
  </si>
  <si>
    <t>nyc beauty + curls 🫶🏽 💌: monicaxmarra@gmail.com</t>
  </si>
  <si>
    <t>https://www.tiktok.com/@belikemonica</t>
  </si>
  <si>
    <t>monica 🎀</t>
  </si>
  <si>
    <t>belikemonica</t>
  </si>
  <si>
    <t>6753121734893405190</t>
  </si>
  <si>
    <r>
      <rPr>
        <u/>
        <sz val="12"/>
        <color rgb="FF1155CC"/>
        <rFont val="Calibri"/>
        <family val="2"/>
        <scheme val="minor"/>
      </rPr>
      <t>https://www.tiktok.com/@rilezzz_/video/7415350168385490207</t>
    </r>
  </si>
  <si>
    <t>фрози &amp; joyful</t>
  </si>
  <si>
    <t>bounce i just wanna dance</t>
  </si>
  <si>
    <t>https://p16-pu-sign-useast8.tiktokcdn-us.com/tos-useast8-p-0068-tx2/347551c6d48947a2b61590e43efc378f_1726520768~tplv-tiktokx-origin.image?dr=10395&amp;x-expires=1757631600&amp;x-signature=avLkW3oOL3kAhcYVUvHEao88H8U%3D&amp;t=4d5b0474&amp;ps=13740610&amp;shp=81f88b70&amp;shcp=43f4a2f9&amp;idc=no1a</t>
  </si>
  <si>
    <t>@SKIMS #skimspartner #midsizefashion #shapewear</t>
  </si>
  <si>
    <t>midsize fashion &amp; more 2025 bride 💍 💌: riley.collabs1@gmail.com</t>
  </si>
  <si>
    <t>https://www.tiktok.com/@rilezzz_</t>
  </si>
  <si>
    <t>rilezzz</t>
  </si>
  <si>
    <t>rilezzz_</t>
  </si>
  <si>
    <t>6978332051419300870</t>
  </si>
  <si>
    <r>
      <rPr>
        <u/>
        <sz val="12"/>
        <color rgb="FF1155CC"/>
        <rFont val="Calibri"/>
        <family val="2"/>
        <scheme val="minor"/>
      </rPr>
      <t>https://www.tiktok.com/@ambsrowan/video/7531675481746312470</t>
    </r>
  </si>
  <si>
    <t>Nicki Minaj</t>
  </si>
  <si>
    <t>High School</t>
  </si>
  <si>
    <t>https://p16-pu-sign-no.tiktokcdn-eu.com/tos-no1a-p-0037-no/oAmCEvByi88nQ4FylIzGAA0CA3JIIyBfw0vEBi~tplv-tiktokx-origin.image?dr=10395&amp;x-expires=1757631600&amp;x-signature=MovGk7ktT5e80RAF7iPTVLycbfw%3D&amp;t=4d5b0474&amp;ps=13740610&amp;shp=81f88b70&amp;shcp=43f4a2f9&amp;idc=no1a</t>
  </si>
  <si>
    <t>the most feminine dress @SKIMS I need more colours 🥹 #skims #datenight #blackdress</t>
  </si>
  <si>
    <t>Community Building Fitness, Beauty, Events- London 💌 contact@hobmanagement.com</t>
  </si>
  <si>
    <t>https://www.tiktok.com/@ambsrowan</t>
  </si>
  <si>
    <t>4mber ✨</t>
  </si>
  <si>
    <t>ambsrowan</t>
  </si>
  <si>
    <t>6787396839181632517</t>
  </si>
  <si>
    <r>
      <rPr>
        <u/>
        <sz val="12"/>
        <color rgb="FF1155CC"/>
        <rFont val="Calibri"/>
        <family val="2"/>
        <scheme val="minor"/>
      </rPr>
      <t>https://www.tiktok.com/@sarahlouisab/video/7354306923577101601</t>
    </r>
  </si>
  <si>
    <t>noevdv</t>
  </si>
  <si>
    <t>want u - sped up</t>
  </si>
  <si>
    <t>https://p19-common-sign-useastred.tiktokcdn-eu.com/tos-useast2a-p-0037-euttp/2f160e5d48ae4c8aa4e6d3b4cfbe3396_1712308034~tplv-tiktokx-origin.image?dr=10395&amp;x-expires=1757631600&amp;x-signature=IvCvz%2FT0j92DEsaQ8JJSWE%2B7hBg%3D&amp;t=4d5b0474&amp;ps=13740610&amp;shp=81f88b70&amp;shcp=43f4a2f9&amp;idc=no1a</t>
  </si>
  <si>
    <t>@SKIMS outdoor 🥹☁️🫶🏼✨ the best onesie ever angels I’m wearing the OUTDOOR MID THIGH ONESIE SMOKE 🤍 @theangelsmgmt gifted #skims #skimspartner #skimsoutdoor #skimsreview #skimsoutdoorscollection #outfit #outfitideas #grwm #ootd #spring #skimstryon #tryon #fyp</t>
  </si>
  <si>
    <t>my angels 🤍 info@theangelsmgmt.com 👼🫶🏼✨☁️</t>
  </si>
  <si>
    <t>https://www.tiktok.com/@sarahlouisab</t>
  </si>
  <si>
    <t>sarahlouisab</t>
  </si>
  <si>
    <t>6802706257344463878</t>
  </si>
  <si>
    <r>
      <rPr>
        <u/>
        <sz val="12"/>
        <color rgb="FF1155CC"/>
        <rFont val="Calibri"/>
        <family val="2"/>
        <scheme val="minor"/>
      </rPr>
      <t>https://www.tiktok.com/@miakhannn/video/7440407219889245472</t>
    </r>
  </si>
  <si>
    <t>mia</t>
  </si>
  <si>
    <t>https://p19-common-sign-useastred.tiktokcdn-eu.com/tos-useast2a-p-0037-euttp/o4AwAfIdDDCnFADECDERaUIgQCPQhgCQ3XRfMA~tplv-tiktokx-dmt-logom:tos-useast2a-i-0068-euttp/oowBIzAEoBciCo8yhAIACxGfAGHoyiEBAXHB4N.image?dr=10393&amp;x-expires=1757631600&amp;x-signature=66GX%2FXZA%2BOkQrAc27e9bOKRulRM%3D&amp;t=4d5b0474&amp;ps=13740610&amp;shp=81f88b70&amp;shcp=43f4a2f9&amp;idc=no1a</t>
  </si>
  <si>
    <t>zara coming through with the skims doops💅🏽💋🎀 #zara #zarahaul #skims #skimsbodysuit</t>
  </si>
  <si>
    <t>my not so private, private story🪐 mia@connectmgt.com</t>
  </si>
  <si>
    <t>https://www.tiktok.com/@miakhannn</t>
  </si>
  <si>
    <t>miakhannn</t>
  </si>
  <si>
    <t>6737120233927083014</t>
  </si>
  <si>
    <r>
      <rPr>
        <u/>
        <sz val="12"/>
        <color rgb="FF1155CC"/>
        <rFont val="Calibri"/>
        <family val="2"/>
        <scheme val="minor"/>
      </rPr>
      <t>https://www.tiktok.com/@leahsep/video/7397258415472479506</t>
    </r>
  </si>
  <si>
    <t>4batz</t>
  </si>
  <si>
    <t>act ii: date @ 8</t>
  </si>
  <si>
    <t>https://p16-sign-sg.tiktokcdn.com/tos-alisg-p-0037/3276eb8571b447cebc675951396bec19_1722308444~tplv-tiktokx-origin.image?dr=10395&amp;x-expires=1757631600&amp;x-signature=%2BF68vyl4x4fi3zygTga4Vp9OFgQ%3D&amp;t=4d5b0474&amp;ps=13740610&amp;shp=81f88b70&amp;shcp=43f4a2f9&amp;idc=no1a</t>
  </si>
  <si>
    <t>finally got my hands on the SKIMS soft lounge dress 🤩 obsessed is an understatement @SKIMS #skimspartner</t>
  </si>
  <si>
    <t>just a bunch of cute fits ldn 💌 leah@thetalentnet.com.au</t>
  </si>
  <si>
    <t>https://www.tiktok.com/@leahsep</t>
  </si>
  <si>
    <t>leah</t>
  </si>
  <si>
    <t>leahsep</t>
  </si>
  <si>
    <t>6619731121646239750</t>
  </si>
  <si>
    <r>
      <rPr>
        <u/>
        <sz val="12"/>
        <color rgb="FF1155CC"/>
        <rFont val="Calibri"/>
        <family val="2"/>
        <scheme val="minor"/>
      </rPr>
      <t>https://www.tiktok.com/@gibby_333/video/7539303299237891358</t>
    </r>
  </si>
  <si>
    <t>INJI</t>
  </si>
  <si>
    <t>GASLIGHT</t>
  </si>
  <si>
    <t>https://p16-pu-sign-useast8.tiktokcdn-us.com/tos-useast8-p-0068-tx2/o0ffiQQscFDnATAeQy9RFctBWUFHGgrEdVVifh~tplv-tiktokx-origin.image?dr=10395&amp;x-expires=1757631600&amp;x-signature=qJ8aErFv%2Fx2wXr%2FeCTylXD182H4%3D&amp;t=4d5b0474&amp;ps=13740610&amp;shp=81f88b70&amp;shcp=43f4a2f9&amp;idc=no1a</t>
  </si>
  <si>
    <t>Self care routine in nothing other than the best @SKIMS 🫰🏼 #skimspartner</t>
  </si>
  <si>
    <t>💌: Gabriellakminuto@gmail.com Venmo: gabriellakminuto Sweet potato connoisseur</t>
  </si>
  <si>
    <t>https://www.tiktok.com/@gibby_333</t>
  </si>
  <si>
    <t>gab minuto</t>
  </si>
  <si>
    <t>gibby_333</t>
  </si>
  <si>
    <r>
      <rPr>
        <u/>
        <sz val="12"/>
        <color rgb="FF1155CC"/>
        <rFont val="Calibri"/>
        <family val="2"/>
        <scheme val="minor"/>
      </rPr>
      <t>https://www.tiktok.com/@skims/video/7283240776723664171</t>
    </r>
  </si>
  <si>
    <t>https://p19-sign.tiktokcdn-us.com/tos-useast5-p-0068-tx/05ff6d71f5ac436dbcf262275064ba7e_1695761651~tplv-tiktokx-origin.image?dr=10395&amp;x-expires=1757631600&amp;x-signature=FLYpWu%2B3cTBb2777zGH9tO%2F%2BJac%3D&amp;t=4d5b0474&amp;ps=13740610&amp;shp=81f88b70&amp;shcp=43f4a2f9&amp;idc=no1a</t>
  </si>
  <si>
    <t>@Kim Kardashian wears the new Fits Everybody Cropped Cami.</t>
  </si>
  <si>
    <r>
      <rPr>
        <u/>
        <sz val="12"/>
        <color rgb="FF1155CC"/>
        <rFont val="Calibri"/>
        <family val="2"/>
        <scheme val="minor"/>
      </rPr>
      <t>https://www.tiktok.com/@aimeejaihall/video/7411661845150453010</t>
    </r>
  </si>
  <si>
    <t>bbno$</t>
  </si>
  <si>
    <t>it boy</t>
  </si>
  <si>
    <t>https://p16-sign-sg.tiktokcdn.com/tos-alisg-p-0037/16a885e858fb4e838b6623e6355fc051_1725662045~tplv-tiktokx-origin.image?dr=10395&amp;x-expires=1757631600&amp;x-signature=aSD%2FTdoYwLjgcAemTlVxR4NqAq8%3D&amp;t=4d5b0474&amp;ps=13740610&amp;shp=81f88b70&amp;shcp=43f4a2f9&amp;idc=no1a</t>
  </si>
  <si>
    <t>@SKIMS i love love love this bodysuit in this colour 😍 #skims #skimspartner #fyp</t>
  </si>
  <si>
    <t>6798271199992071173</t>
  </si>
  <si>
    <r>
      <rPr>
        <u/>
        <sz val="12"/>
        <color rgb="FF1155CC"/>
        <rFont val="Calibri"/>
        <family val="2"/>
        <scheme val="minor"/>
      </rPr>
      <t>https://www.tiktok.com/@galennsek/video/7268331804279622958</t>
    </r>
  </si>
  <si>
    <t>IT'S GETTING HOT</t>
  </si>
  <si>
    <t>https://p19-sign.tiktokcdn-us.com/tos-useast5-p-0068-tx/oAQPIctPHeeFgq5AmA1A9mS2BeJMKAie8QcpfA~tplv-tiktokx-origin.image?dr=10395&amp;x-expires=1757631600&amp;x-signature=Z6VojbvR8OT3smYGP5NW9GNn1gs%3D&amp;t=4d5b0474&amp;ps=13740610&amp;shp=81f88b70&amp;shcp=43f4a2f9&amp;idc=no1a</t>
  </si>
  <si>
    <t>The best skims inspired boxer set i’ve felt yet!! It’s so soft and not squeezing my thighs 🙌🏽 in my LtK! #affordablefashion #skimsinspired #skims #affordable #fashion #outfit #casualstyle #outfitinspo #ootd #sharingiscaring #size6fashion #size6 #neutealstyle #momlife #fyp #foryou #foryoupage #fypage #foruu #foryou #viral #trending #targetstyle #targetfinds #ltk #ltkstyletip</t>
  </si>
  <si>
    <t>Lifestyle | Amazon Fashion | Abercrombie lkyancey@pearpop.com SHOP LOOKS ⬇️</t>
  </si>
  <si>
    <t>https://www.tiktok.com/@galennsek</t>
  </si>
  <si>
    <t>Galenn Nicole</t>
  </si>
  <si>
    <t>galennsek</t>
  </si>
  <si>
    <t>6822323604169262086</t>
  </si>
  <si>
    <r>
      <rPr>
        <u/>
        <sz val="12"/>
        <color rgb="FF1155CC"/>
        <rFont val="Calibri"/>
        <family val="2"/>
        <scheme val="minor"/>
      </rPr>
      <t>https://www.tiktok.com/@nohelyjasmine_/video/7379051646510304543</t>
    </r>
  </si>
  <si>
    <t>unhaving ;</t>
  </si>
  <si>
    <t>https://p16-pu-sign-useast8.tiktokcdn-us.com/tos-useast8-p-0068-tx2/d4aad09b52b54afca81f7e2d2f635ec8_1718069988~tplv-tiktokx-dmt-logom:tos-useast8-i-0068-tx2/o45EeBFZAEDEU7AArhAAfUEbmnIQRpwEVAt6qC.image?dr=10393&amp;x-expires=1757631600&amp;x-signature=KlhK6W4%2BxcjZkzBlFMMPHbmOIgo%3D&amp;t=4d5b0474&amp;ps=13740610&amp;shp=81f88b70&amp;shcp=43f4a2f9&amp;idc=no1a</t>
  </si>
  <si>
    <t>@SKIMS slid in my emails 😭🤍🤍 This is a reminder that no matter what you think of yourself there’s people out there seeing pontential in you!! Keep showing up at your own pace 🫶🏼🫶🏼 this makes me So happy and excited #SKIMS #skimspartner #greenscreen #smallcontentcreator #influencerprogram #contentcreator</t>
  </si>
  <si>
    <t>📍OC/LA 🌿 Herbs, Soft routines, Real life Nohelyjolvera@gmail.com</t>
  </si>
  <si>
    <t>https://www.tiktok.com/@nohelyjasmine_</t>
  </si>
  <si>
    <t>Nohely olvera 🌱🌱</t>
  </si>
  <si>
    <t>nohelyjasmine_</t>
  </si>
  <si>
    <t>6532056330373431298</t>
  </si>
  <si>
    <r>
      <rPr>
        <u/>
        <sz val="12"/>
        <color rgb="FF1155CC"/>
        <rFont val="Calibri"/>
        <family val="2"/>
        <scheme val="minor"/>
      </rPr>
      <t>https://www.tiktok.com/@kateobyrne/video/7514376088949198102</t>
    </r>
  </si>
  <si>
    <t>Milky Chance</t>
  </si>
  <si>
    <t>Ok I Like It</t>
  </si>
  <si>
    <t>https://p16-pu-sign-no.tiktokcdn-eu.com/tos-no1a-p-0037-no/ooQQQHF1R2HSAkDoGFCffQS1i05EpE0gkLGoBk~tplv-tiktokx-origin.image?dr=10395&amp;x-expires=1757631600&amp;x-signature=cCSc3Kmx7Nhvac8oOE3CIQNiPQ4%3D&amp;t=4d5b0474&amp;ps=13740610&amp;shp=81f88b70&amp;shcp=43f4a2f9&amp;idc=no1a</t>
  </si>
  <si>
    <t>@SKIMS basics never miss #skimspartner #skimsreview #pushupbra #skimsbra #summershades #ittybittycommitee</t>
  </si>
  <si>
    <t>💌- katecobyrne@gmail.com welcome to my wardrobe irish☘️ 25</t>
  </si>
  <si>
    <t>https://www.tiktok.com/@kateobyrne</t>
  </si>
  <si>
    <t>kate o’byrne</t>
  </si>
  <si>
    <t>kateobyrne</t>
  </si>
  <si>
    <t>6945732999918437382</t>
  </si>
  <si>
    <r>
      <rPr>
        <u/>
        <sz val="12"/>
        <color rgb="FF1155CC"/>
        <rFont val="Calibri"/>
        <family val="2"/>
        <scheme val="minor"/>
      </rPr>
      <t>https://www.tiktok.com/@asu.alphaphi/video/7538896348003732767</t>
    </r>
  </si>
  <si>
    <t>Niall Gray</t>
  </si>
  <si>
    <t>https://p19-pu-sign-useast8.tiktokcdn-us.com/tos-useast8-p-0068-tx2/oAyo7HVDoBiwkVtFE2a48AQdEEHffn8ADRQlcq~tplv-tiktokx-origin.image?dr=9636&amp;x-expires=1757631600&amp;x-signature=RRlYTnkz20raB0HWeLv05qWSemg%3D&amp;t=4d5b0474&amp;ps=13740610&amp;shp=81f88b70&amp;shcp=43f4a2f9&amp;idc=useast5</t>
  </si>
  <si>
    <t>Catching flights AND feelings for MC 25✈️ So excited to be on day 8 of polish week with @SKIMS #skimspartner 🎀 #alphaphi #asualphaphi #asu #asurecruitment</t>
  </si>
  <si>
    <t>Arizona State University | ΑΦ Gamma Pi Chapter 🫧🧸🪞⭐️ TEMPE, AZ</t>
  </si>
  <si>
    <t>https://www.tiktok.com/@asu.alphaphi</t>
  </si>
  <si>
    <t>ASU ALPHA PHI</t>
  </si>
  <si>
    <t>asu.alphaphi</t>
  </si>
  <si>
    <t>6844203496506704901</t>
  </si>
  <si>
    <r>
      <rPr>
        <u/>
        <sz val="12"/>
        <color rgb="FF1155CC"/>
        <rFont val="Calibri"/>
        <family val="2"/>
        <scheme val="minor"/>
      </rPr>
      <t>https://www.tiktok.com/@leagueonevolleyball/video/7531128573500050693</t>
    </r>
  </si>
  <si>
    <t>LOVB</t>
  </si>
  <si>
    <t>https://p16-common-sign-va.tiktokcdn-us.com/tos-maliva-p-0068/ogSBU5aDA387Y4y3QRiBHIrxEBCW8P9IEviuJ~tplv-tiktokx-origin.image?dr=9636&amp;x-expires=1757631600&amp;x-signature=CLGXNQyk%2BljVnevI%2FxHHXecS%2Bd8%3D&amp;t=4d5b0474&amp;ps=13740610&amp;shp=81f88b70&amp;shcp=43f4a2f9&amp;idc=useast8</t>
  </si>
  <si>
    <t>LOVB 🤍 SKIMS SKIMS is now the official loungewear, intimates and sleepwear partner of LOVB. The partnership will see LOVB and @SKIMS work together to accelerate the future of professional women’s volleyball, as well as empower girls and women both in sports and beyond 🫶 #skims #lovb #volleyball</t>
  </si>
  <si>
    <t>Pro Women's Volleyball League @lovbclubs</t>
  </si>
  <si>
    <t>https://www.tiktok.com/@leagueonevolleyball</t>
  </si>
  <si>
    <t>leagueonevolleyball</t>
  </si>
  <si>
    <r>
      <rPr>
        <u/>
        <sz val="12"/>
        <color rgb="FF1155CC"/>
        <rFont val="Calibri"/>
        <family val="2"/>
        <scheme val="minor"/>
      </rPr>
      <t>https://www.tiktok.com/@haleypham/video/7351872010340945195</t>
    </r>
  </si>
  <si>
    <t>Haley Pham</t>
  </si>
  <si>
    <t>https://p16-sign.tiktokcdn-us.com/tos-useast5-p-0068-tx/628d12a52dae435090d535ecc8e7fdf2_1711741120~tplv-tiktokx-origin.image?dr=9636&amp;x-expires=1757631600&amp;x-signature=Xr%2B9bB4IMuEaL%2F8piOQm3DX%2FPMA%3D&amp;t=4d5b0474&amp;ps=13740610&amp;shp=81f88b70&amp;shcp=43f4a2f9&amp;idc=useast8</t>
  </si>
  <si>
    <t>Buying books I see other people holding 🥸 #skimspartner</t>
  </si>
  <si>
    <t>IG: @haleypham 🌟</t>
  </si>
  <si>
    <t>https://www.tiktok.com/@haleypham</t>
  </si>
  <si>
    <t>haleypham</t>
  </si>
  <si>
    <t>53766796645797888</t>
  </si>
  <si>
    <r>
      <rPr>
        <u/>
        <sz val="12"/>
        <color rgb="FF1155CC"/>
        <rFont val="Calibri"/>
        <family val="2"/>
        <scheme val="minor"/>
      </rPr>
      <t>https://www.tiktok.com/@_katisha_/video/7511389340317043999</t>
    </r>
  </si>
  <si>
    <t>𝓓𝓮𝓵𝓲𝓰𝓱𝓽</t>
  </si>
  <si>
    <t>https://p16-pu-sign-useast8.tiktokcdn-us.com/tos-useast8-p-0068-tx2/owpI1HiM34atv9qOC5gG0xAEBfAZiiAnMAc0uI~tplv-tiktokx-origin.image?dr=9636&amp;x-expires=1757631600&amp;x-signature=dYUtUmVhKshWmiFSsVv%2BX5W3LJU%3D&amp;t=4d5b0474&amp;ps=13740610&amp;shp=81f88b70&amp;shcp=43f4a2f9&amp;idc=useast8</t>
  </si>
  <si>
    <t>#fyp#skims#draft</t>
  </si>
  <si>
    <t>💌:katisha0121@gmail.com 🗽</t>
  </si>
  <si>
    <t>https://www.tiktok.com/@_katisha_</t>
  </si>
  <si>
    <t>Katisha💗</t>
  </si>
  <si>
    <t>_katisha_</t>
  </si>
  <si>
    <t>6826327992684266502</t>
  </si>
  <si>
    <r>
      <rPr>
        <u/>
        <sz val="12"/>
        <color rgb="FF1155CC"/>
        <rFont val="Calibri"/>
        <family val="2"/>
        <scheme val="minor"/>
      </rPr>
      <t>https://www.tiktok.com/@lolanellie/video/7546209746164911391</t>
    </r>
  </si>
  <si>
    <t>Nellie Johnson</t>
  </si>
  <si>
    <t>https://p16-pu-sign-useast8.tiktokcdn-us.com/tos-useast8-p-0068-tx2/osrIdGewEDhuGVr5YjF6AWIERApVQlifEBBoQY~tplv-tiktokx-origin.image?dr=9636&amp;x-expires=1757631600&amp;x-signature=4QfDum03rCjzdsIjwiFobKZC64I%3D&amp;t=4d5b0474&amp;ps=13740610&amp;shp=81f88b70&amp;shcp=43f4a2f9&amp;idc=useast8</t>
  </si>
  <si>
    <t>I am obsessed with capris and will be wearing these @SKIMS essential capri pants until further notice. #skimspartner</t>
  </si>
  <si>
    <t>new york city nellie@fromatoztalent.com</t>
  </si>
  <si>
    <t>https://www.tiktok.com/@lolanellie</t>
  </si>
  <si>
    <t>lolanellie</t>
  </si>
  <si>
    <t>6673924409973228545</t>
  </si>
  <si>
    <r>
      <rPr>
        <u/>
        <sz val="12"/>
        <color rgb="FF1155CC"/>
        <rFont val="Calibri"/>
        <family val="2"/>
        <scheme val="minor"/>
      </rPr>
      <t>https://www.tiktok.com/@jeazellereanne/video/7547783637673069837</t>
    </r>
  </si>
  <si>
    <t>BIG UP</t>
  </si>
  <si>
    <t>https://p19-pu-sign-useast8.tiktokcdn-us.com/tos-useast5-p-0068-tx/oQveQfJiOAAghLG4AQbv8AXAe54MfXHrjIxOkR~tplv-tiktokx-origin.image?dr=9636&amp;x-expires=1757631600&amp;x-signature=h1W5IoLPz%2Bo83UDgGtHRnF2X07o%3D&amp;t=4d5b0474&amp;ps=13740610&amp;shp=81f88b70&amp;shcp=43f4a2f9&amp;idc=useast8</t>
  </si>
  <si>
    <t>bedtime routine with @SKIMS 💘 #SKIMSpartner #skims #skimsboyshort #pjset #fyp</t>
  </si>
  <si>
    <t>💌 based in nyc ig: @jeazellereanne</t>
  </si>
  <si>
    <t>https://www.tiktok.com/@jeazellereanne</t>
  </si>
  <si>
    <t>jeazellereanne</t>
  </si>
  <si>
    <t>6678809161751856134</t>
  </si>
  <si>
    <r>
      <rPr>
        <u/>
        <sz val="12"/>
        <color rgb="FF1155CC"/>
        <rFont val="Calibri"/>
        <family val="2"/>
        <scheme val="minor"/>
      </rPr>
      <t>https://www.tiktok.com/@meganhomme/video/7359240315028426026</t>
    </r>
  </si>
  <si>
    <t>Megan Homme</t>
  </si>
  <si>
    <t>https://p16-pu-sign-useast8.tiktokcdn-us.com/tos-useast5-p-0068-tx/2d61bb3cc5e347ca9ba22be01f1acb52_1713456674~tplv-tiktokx-origin.image?dr=9636&amp;x-expires=1757631600&amp;x-signature=znBDdBJ1YZiSkVGaBLfrYY6LYoU%3D&amp;t=4d5b0474&amp;ps=13740610&amp;shp=81f88b70&amp;shcp=43f4a2f9&amp;idc=useast8</t>
  </si>
  <si>
    <t>idk what kim put into this set but it’s the softest thing i’ve ever put on my body @SKIMS #skimspartner #airportoutfit #matchingset #traveltiktok</t>
  </si>
  <si>
    <t>doing things chicago megan.homme@teamwass.com</t>
  </si>
  <si>
    <t>https://www.tiktok.com/@meganhomme</t>
  </si>
  <si>
    <t>meganhomme</t>
  </si>
  <si>
    <t>6791772937583215621</t>
  </si>
  <si>
    <r>
      <rPr>
        <u/>
        <sz val="12"/>
        <color rgb="FF1155CC"/>
        <rFont val="Calibri"/>
        <family val="2"/>
        <scheme val="minor"/>
      </rPr>
      <t>https://www.tiktok.com/@e111esuh/video/7481139699222842667</t>
    </r>
  </si>
  <si>
    <t>COWBOYYONCÈ🤠</t>
  </si>
  <si>
    <t>https://p19-pu-sign-useast8.tiktokcdn-us.com/tos-useast5-p-0068-tx/o8PQlEBzD3AAAuJBD4gIWikW2xS9OZUEFZ9Ai~tplv-tiktokx-origin.image?dr=9636&amp;x-expires=1757631600&amp;x-signature=1Ih5OllI%2BdajANDlCTY%2BJH5MUiQ%3D&amp;t=4d5b0474&amp;ps=13740610&amp;shp=81f88b70&amp;shcp=43f4a2f9&amp;idc=useast8</t>
  </si>
  <si>
    <t>#skimspartner @SKIMS #SKIMSCotton #SKIMSFitsEverybody #SKIMS</t>
  </si>
  <si>
    <t>Collabs📧elliesuh@mar-agency.co I love #ootds, cool accessories and a good spin</t>
  </si>
  <si>
    <t>https://www.tiktok.com/@e111esuh</t>
  </si>
  <si>
    <t>e111e</t>
  </si>
  <si>
    <t>e111esuh</t>
  </si>
  <si>
    <t>7272942562797437998</t>
  </si>
  <si>
    <r>
      <rPr>
        <u/>
        <sz val="12"/>
        <color rgb="FF1155CC"/>
        <rFont val="Calibri"/>
        <family val="2"/>
        <scheme val="minor"/>
      </rPr>
      <t>https://www.tiktok.com/@ally_wong/video/7546772822677343519</t>
    </r>
  </si>
  <si>
    <t>Allison 🌝</t>
  </si>
  <si>
    <t>https://p19-pu-sign-useast8.tiktokcdn-us.com/tos-useast8-p-0068-tx2/o4foDSRFEYDuI3QEYCFX2IAfEaA2QAC74BAVSA~tplv-tiktokx-origin.image?dr=9636&amp;x-expires=1757631600&amp;x-signature=9kDYDur1yY%2BROh2QynsN61hy7gA%3D&amp;t=4d5b0474&amp;ps=13740610&amp;shp=81f88b70&amp;shcp=43f4a2f9&amp;idc=useast8</t>
  </si>
  <si>
    <t>Mukbang? 🌝✊🏻 set from @SKIMS 💖#skimspartner #fyp #food #mukbang</t>
  </si>
  <si>
    <t>beauty, food, life 🌝🎀 los angeles 💌 allisonwong333@gmail.com 💌</t>
  </si>
  <si>
    <t>https://www.tiktok.com/@ally_wong</t>
  </si>
  <si>
    <t>ally_wong</t>
  </si>
  <si>
    <t>6985723906704278534</t>
  </si>
  <si>
    <r>
      <rPr>
        <u/>
        <sz val="12"/>
        <color rgb="FF1155CC"/>
        <rFont val="Calibri"/>
        <family val="2"/>
        <scheme val="minor"/>
      </rPr>
      <t>https://www.tiktok.com/@babybellz619/video/7203072595527257390</t>
    </r>
  </si>
  <si>
    <t>Ella 🖤</t>
  </si>
  <si>
    <t>https://p19-pu-sign-useast8.tiktokcdn-us.com/tos-useast5-p-0068-tx/a598a69db79e4f18a5fb172f711e0aa3~tplv-tiktokx-origin.image?dr=9636&amp;x-expires=1757631600&amp;x-signature=5VnCpTlYug6tXj9ncR%2BSjTCAQnI%3D&amp;t=4d5b0474&amp;ps=13740610&amp;shp=81f88b70&amp;shcp=43f4a2f9&amp;idc=useast8</t>
  </si>
  <si>
    <t>Part 1 of explaining the different skims collections! @skims @kimkardashian #skims #skimsreview #skimsbodysuit</t>
  </si>
  <si>
    <t>LA🖤 💌bellaella619@gmail.com</t>
  </si>
  <si>
    <t>https://www.tiktok.com/@babybellz619</t>
  </si>
  <si>
    <t>babybellz619</t>
  </si>
  <si>
    <t>7462851734808626222</t>
  </si>
  <si>
    <r>
      <rPr>
        <u/>
        <sz val="12"/>
        <color rgb="FF1155CC"/>
        <rFont val="Calibri"/>
        <family val="2"/>
        <scheme val="minor"/>
      </rPr>
      <t>https://www.tiktok.com/@datingwithcourt/video/7482490830175898911</t>
    </r>
  </si>
  <si>
    <t>user36870635613</t>
  </si>
  <si>
    <t>https://p19-pu-sign-useast8.tiktokcdn-us.com/tos-useast8-p-0068-tx2/oc4Xkizww9ZVcRJBIdZiEgAhEB7ugZyXJAPBM~tplv-tiktokx-origin.image?dr=9636&amp;x-expires=1757631600&amp;x-signature=Bcyv34KSGABlKgoKbERen49Z9Kk%3D&amp;t=4d5b0474&amp;ps=13740610&amp;shp=81f88b70&amp;shcp=43f4a2f9&amp;idc=useast8</t>
  </si>
  <si>
    <t>Excuse my old spray tan on my neck 😂 #ford #bronco #raptor #truck</t>
  </si>
  <si>
    <t>Yes I have the link 🔗</t>
  </si>
  <si>
    <t>https://www.tiktok.com/@datingwithcourt</t>
  </si>
  <si>
    <t>datingwithcourt</t>
  </si>
  <si>
    <r>
      <rPr>
        <u/>
        <sz val="12"/>
        <color rgb="FF1155CC"/>
        <rFont val="Calibri"/>
        <family val="2"/>
        <scheme val="minor"/>
      </rPr>
      <t>https://www.tiktok.com/@skims/video/7504429782801763630</t>
    </r>
  </si>
  <si>
    <t>https://p19-pu-sign-useast8.tiktokcdn-us.com/tos-useast5-p-0068-tx/oIBEHAFJVEDWwpAAc9AgfSEfolIDRgpDSAzRFC~tplv-tiktokx-origin.image?dr=9636&amp;x-expires=1757631600&amp;x-signature=YVlSJoehLhQzk5DD1txMXs1kWsg%3D&amp;t=4d5b0474&amp;ps=13740610&amp;shp=81f88b70&amp;shcp=43f4a2f9&amp;idc=useast8</t>
  </si>
  <si>
    <t>skims viral shapewear is 30% off - shop the bi-annual sales sitewide and in stores 🛍️ exclusions apply @aimee</t>
  </si>
  <si>
    <t>6726205671614481414</t>
  </si>
  <si>
    <r>
      <rPr>
        <u/>
        <sz val="12"/>
        <color rgb="FF1155CC"/>
        <rFont val="Calibri"/>
        <family val="2"/>
        <scheme val="minor"/>
      </rPr>
      <t>https://www.tiktok.com/@meechie.1/video/7347757091559329066</t>
    </r>
  </si>
  <si>
    <t>https://p16-pu-sign-useast8.tiktokcdn-us.com/tos-useast5-p-0068-tx/c4fb5f1bbdca4176938cf729ee0f3f46_1710783051~tplv-tiktokx-origin.image?dr=9636&amp;x-expires=1757631600&amp;x-signature=zcNb3f2iDTsUHxLEp9QRs4RaQOw%3D&amp;t=4d5b0474&amp;ps=13740610&amp;shp=81f88b70&amp;shcp=43f4a2f9&amp;idc=useast8</t>
  </si>
  <si>
    <t>Loving my new loungewear from @SKIMS SKIMS Men Terry Fleece drops 03/21 at 9 am Pacific time #skimspartner #skimsmen</t>
  </si>
  <si>
    <t>https://www.tiktok.com/@meechie.1</t>
  </si>
  <si>
    <t>Meechie Johnson🖐🏽</t>
  </si>
  <si>
    <t>meechie.1</t>
  </si>
  <si>
    <t>7016204946903581702</t>
  </si>
  <si>
    <r>
      <rPr>
        <u/>
        <sz val="12"/>
        <color rgb="FF1155CC"/>
        <rFont val="Calibri"/>
        <family val="2"/>
        <scheme val="minor"/>
      </rPr>
      <t>https://www.tiktok.com/@chloeaalcindor/video/7535176244069960974</t>
    </r>
  </si>
  <si>
    <t>choppy.wav</t>
  </si>
  <si>
    <t>shine on</t>
  </si>
  <si>
    <t>https://p19-pu-sign-useast8.tiktokcdn-us.com/tos-useast5-p-0068-tx/oAeLAKgEKRfeIAIup0NLiIvGEWAwJQjkYCkAAH~tplv-tiktokx-origin.image?dr=9636&amp;x-expires=1757631600&amp;x-signature=ZEd0%2FPB6TX0PALC%2BNTApghXnZfs%3D&amp;t=4d5b0474&amp;ps=13740610&amp;shp=81f88b70&amp;shcp=43f4a2f9&amp;idc=useast8</t>
  </si>
  <si>
    <t>The Campus Collection BTS with @skims 🤍 #skimspartner</t>
  </si>
  <si>
    <t>howard university 💌chlo3alcindor@gmail.com</t>
  </si>
  <si>
    <t>https://www.tiktok.com/@chloeaalcindor</t>
  </si>
  <si>
    <t>chloeaalcindor</t>
  </si>
  <si>
    <r>
      <rPr>
        <u/>
        <sz val="12"/>
        <color rgb="FF1155CC"/>
        <rFont val="Calibri"/>
        <family val="2"/>
        <scheme val="minor"/>
      </rPr>
      <t>https://www.tiktok.com/@carlinaerikinn/video/7527613325723651360</t>
    </r>
  </si>
  <si>
    <t>https://p16-common-sign-useast2a.tiktokcdn-us.com/tos-useast2a-p-0037-euttp/ogfS32eADACiAbQi3uBcmoIHdEARTdRC3i6EBg~tplv-tiktokx-origin.image?dr=9636&amp;x-expires=1757631600&amp;x-signature=wisTzF1v%2BfJPwyWuLxwNLJDbO0Q%3D&amp;t=4d5b0474&amp;ps=13740610&amp;shp=81f88b70&amp;shcp=43f4a2f9&amp;idc=useast8</t>
  </si>
  <si>
    <t>Obsessed with this tanktop from @SKIMS 🫶🏻 #SKIMSpartner #skims #tanktop #basics #outfitcheck #wearvsstyle #outfit #outfitideas #ootd #outfitinspo #wearingvsstyling</t>
  </si>
  <si>
    <t>outfits + life IG: carlinaerikin 💌: carlina.erikin@hotmail.com Netherlands</t>
  </si>
  <si>
    <t>https://www.tiktok.com/@carlinaerikinn</t>
  </si>
  <si>
    <t>Carlina</t>
  </si>
  <si>
    <t>carlinaerikinn</t>
  </si>
  <si>
    <t>6764482822235390981</t>
  </si>
  <si>
    <r>
      <rPr>
        <u/>
        <sz val="12"/>
        <color rgb="FF1155CC"/>
        <rFont val="Calibri"/>
        <family val="2"/>
        <scheme val="minor"/>
      </rPr>
      <t>https://www.tiktok.com/@alicecomerfordd/video/7527763300621241622</t>
    </r>
  </si>
  <si>
    <t>𝑮𝒂𝒃𝒓𝒊𝒆𝒍𝒍𝒆😾😮‍💨</t>
  </si>
  <si>
    <t>https://p16-pu-sign-no.tiktokcdn-eu.com/tos-no1a-p-0037-no/ogDNvAGwfIAkYEQQD7FfLFAi1f7AzgIvjADiIZ~tplv-tiktokx-dmt-logom:tos-no1a-i-0068-no/o0DhjsmnAAAhAGYaAILQ3fQGxeufyNfIWRKDvQ.image?dr=10393&amp;x-expires=1757631600&amp;x-signature=8ksp0TcyF37N%2F2rHgI4bBhvs58w%3D&amp;t=4d5b0474&amp;ps=13740610&amp;shp=81f88b70&amp;shcp=43f4a2f9&amp;idc=no1a</t>
  </si>
  <si>
    <t>Nothing beats the quality 🩵 #skims #camitop #skimpartner</t>
  </si>
  <si>
    <t>Probably Singing 🕊️ vlogs &amp; more &lt;3 💌: alicecmusic@outlook.com</t>
  </si>
  <si>
    <t>https://www.tiktok.com/@alicecomerfordd</t>
  </si>
  <si>
    <t>Alice Comerford</t>
  </si>
  <si>
    <t>alicecomerfordd</t>
  </si>
  <si>
    <t>7288123437894485038</t>
  </si>
  <si>
    <r>
      <rPr>
        <u/>
        <sz val="12"/>
        <color rgb="FF1155CC"/>
        <rFont val="Calibri"/>
        <family val="2"/>
        <scheme val="minor"/>
      </rPr>
      <t>https://www.tiktok.com/@alissaandrea/video/7519312420716760334</t>
    </r>
  </si>
  <si>
    <t>Alissa Andrea</t>
  </si>
  <si>
    <t>https://p16-sign.tiktokcdn-us.com/tos-useast5-p-0068-tx/oIlOqeGeL87DZ2nasGRsAFyRbyjggILeAhe0JI~tplv-tiktokx-dmt-logom:tos-useast5-i-0068-tx/oc9BAt0IZ1bBNBd9w5JvPfiBiCAIBAL7MvYCAE.image?dr=10393&amp;x-expires=1757631600&amp;x-signature=qd%2Fp1XR5JzioQSeKCKd740ZIEsk%3D&amp;t=4d5b0474&amp;ps=13740610&amp;shp=81f88b70&amp;shcp=43f4a2f9&amp;idc=no1a</t>
  </si>
  <si>
    <t>this bra is literally magic!! @SKIMS #skimspartner #skimsreview #pushupbra #skimsbra #summershades #tryon</t>
  </si>
  <si>
    <t>southern california 🌟 i love playing dress up 💌: alissaandrea.n@gmail.com</t>
  </si>
  <si>
    <t>https://www.tiktok.com/@alissaandrea</t>
  </si>
  <si>
    <t>alissaandrea</t>
  </si>
  <si>
    <t>103231042534121472</t>
  </si>
  <si>
    <r>
      <rPr>
        <u/>
        <sz val="12"/>
        <color rgb="FF1155CC"/>
        <rFont val="Calibri"/>
        <family val="2"/>
        <scheme val="minor"/>
      </rPr>
      <t>https://www.tiktok.com/@aaliyahfairbrother/video/7441278740161678625</t>
    </r>
  </si>
  <si>
    <t>Summer Walker</t>
  </si>
  <si>
    <t>Heart Of A Woman</t>
  </si>
  <si>
    <t>https://p19-common-sign-useastred.tiktokcdn-eu.com/tos-useast2a-p-0037-euttp/oIPE8VFRlIDq6hBAgeBQfMEwnEIMRbGDPt6LuB~tplv-tiktokx-origin.image?dr=10395&amp;x-expires=1757631600&amp;x-signature=q9jr7EY9F9TASi2IJVNwwVs%2F4%2F0%3D&amp;t=4d5b0474&amp;ps=13740610&amp;shp=81f88b70&amp;shcp=43f4a2f9&amp;idc=no1a</t>
  </si>
  <si>
    <t>@SKIMS fits everybody bodysuit🖤 #skims #skimspartner #skimsfitseverybody</t>
  </si>
  <si>
    <t>💌aaliyah@migosmedia.com</t>
  </si>
  <si>
    <t>https://www.tiktok.com/@aaliyahfairbrother</t>
  </si>
  <si>
    <t>Aaliyah Fairbrother</t>
  </si>
  <si>
    <t>aaliyahfairbrother</t>
  </si>
  <si>
    <t>6859031924763182085</t>
  </si>
  <si>
    <r>
      <rPr>
        <u/>
        <sz val="12"/>
        <color rgb="FF1155CC"/>
        <rFont val="Calibri"/>
        <family val="2"/>
        <scheme val="minor"/>
      </rPr>
      <t>https://www.tiktok.com/@monikkamancini/video/7498794611154963767</t>
    </r>
  </si>
  <si>
    <t>NOKIA</t>
  </si>
  <si>
    <t>https://p16-sign-va.tiktokcdn.com/tos-maliva-p-0068/oIQEgACAjRMIAnGQ3LBeepMc4PPI5IAgS6ifEp~tplv-tiktokx-dmt-logom:tos-useast2a-v-0068/oMACvPQdARjkI3xILiABPQgGEgfSIAIEEZeVfm.image?dr=10393&amp;x-expires=1757631600&amp;x-signature=zbcvGOgoVsWMyu1Ipvi9pDE0EpI%3D&amp;t=4d5b0474&amp;ps=13740610&amp;shp=81f88b70&amp;shcp=43f4a2f9&amp;idc=no1a</t>
  </si>
  <si>
    <t>Another day, another big b00b friendly outfit! Bodysuit is from @SKIMS 🫶🏻 #bigchestproblems #skims #bodysuit #flattering #girlsnightout #bigchest #fortheladies</t>
  </si>
  <si>
    <t>I fear a new outfit solves all your problems✨ collabs: monika@impulsomedia.ca</t>
  </si>
  <si>
    <t>https://www.tiktok.com/@monikkamancini</t>
  </si>
  <si>
    <t>Monika Mancini 🦋</t>
  </si>
  <si>
    <t>monikkamancini</t>
  </si>
  <si>
    <t>6747681013005501446</t>
  </si>
  <si>
    <r>
      <rPr>
        <u/>
        <sz val="12"/>
        <color rgb="FF1155CC"/>
        <rFont val="Calibri"/>
        <family val="2"/>
        <scheme val="minor"/>
      </rPr>
      <t>https://www.tiktok.com/@maggylove_/video/7464651113464155425</t>
    </r>
  </si>
  <si>
    <t>ame</t>
  </si>
  <si>
    <t>Calm background music with acoustic guitar and saxophone(1288148)</t>
  </si>
  <si>
    <t>https://p19-common-sign-useastred.tiktokcdn-eu.com/tos-useast2a-p-0037-euttp/oYEWMRCn8lXxJilZ0ICBMQAEPmDfAhDA6IAJie~tplv-tiktokx-dmt-logom:tos-useast2a-i-0068-euttp/oUMEDlCPFIA8aAQ811xTXfAIzQEfgCDCnESRAF.image?dr=10393&amp;x-expires=1757631600&amp;x-signature=ARbuEzEab9tJaL605pwUZkDUygM%3D&amp;t=4d5b0474&amp;ps=13740610&amp;shp=81f88b70&amp;shcp=43f4a2f9&amp;idc=no1a</t>
  </si>
  <si>
    <t>Did I mention they’re talk girl friendly?? @SKIMS #skimspartner #skimscottonjersey #skimscotton #skimsset #loungewear #skimsreview</t>
  </si>
  <si>
    <t>Isaiah 60:1 | 🇿🇦 | London 🇬🇧 Fashion | Fitness 💌: hey.maggylove@gmail.com</t>
  </si>
  <si>
    <t>https://www.tiktok.com/@maggylove_</t>
  </si>
  <si>
    <t>Maggy Love 💋</t>
  </si>
  <si>
    <t>maggylove_</t>
  </si>
  <si>
    <t>6937103679729107973</t>
  </si>
  <si>
    <r>
      <rPr>
        <u/>
        <sz val="12"/>
        <color rgb="FF1155CC"/>
        <rFont val="Calibri"/>
        <family val="2"/>
        <scheme val="minor"/>
      </rPr>
      <t>https://www.tiktok.com/@throughbris.lens/video/7426418277875846405</t>
    </r>
  </si>
  <si>
    <t>bri defran</t>
  </si>
  <si>
    <t>https://p16-sign-va.tiktokcdn.com/tos-maliva-p-0068/8e5bfdd7b36141ab933d683442ed79f6_1729097763~tplv-tiktokx-dmt-logom:tos-useast2a-v-0068/oEABABXP9unIfCCA1ABfxEPrJD8RigiQAWGEcP.image?dr=10393&amp;x-expires=1757631600&amp;x-signature=jTjyKAi1ZDgKUiO%2B88LXjdioXBQ%3D&amp;t=4d5b0474&amp;ps=13740610&amp;shp=81f88b70&amp;shcp=43f4a2f9&amp;idc=no1a</t>
  </si>
  <si>
    <t>SKIMS try on haul🖤 @SKIMS #skimsreview #skimsbodysuit #skimshaul #skimspartner #skimsshapewear</t>
  </si>
  <si>
    <t>toronto fashion &amp; lifestyle 💌: bri.defrancesco@gmail.com</t>
  </si>
  <si>
    <t>https://www.tiktok.com/@throughbris.lens</t>
  </si>
  <si>
    <t>throughbris.lens</t>
  </si>
  <si>
    <r>
      <rPr>
        <u/>
        <sz val="12"/>
        <color rgb="FF1155CC"/>
        <rFont val="Calibri"/>
        <family val="2"/>
        <scheme val="minor"/>
      </rPr>
      <t>https://www.tiktok.com/@kyannamya_/video/7533254265184275726</t>
    </r>
  </si>
  <si>
    <t>Gluecosebaby</t>
  </si>
  <si>
    <t>maydalenabaymusic remix oblivion x forever</t>
  </si>
  <si>
    <t>https://p19-sign.tiktokcdn-us.com/tos-useast5-p-0068-tx/oQwmg8QNAiYfiIYfcAAviWceQ4feEPgSJAuntA~tplv-tiktokx-origin.image?dr=10395&amp;x-expires=1757631600&amp;x-signature=0uxR9F4LXdVBXRQuAX4hBDBzhFs%3D&amp;t=4d5b0474&amp;ps=13740610&amp;shp=81f88b70&amp;shcp=43f4a2f9&amp;idc=no1a</t>
  </si>
  <si>
    <t>And this is only half of it! Posting the rest later 🙈 @SKIMS #skims #Nordstrom #skimshaul #skimspartner #OOTD #clothinghaul #retailtherapy</t>
  </si>
  <si>
    <t>6832110853026890757</t>
  </si>
  <si>
    <r>
      <rPr>
        <u/>
        <sz val="12"/>
        <color rgb="FF1155CC"/>
        <rFont val="Calibri"/>
        <family val="2"/>
        <scheme val="minor"/>
      </rPr>
      <t>https://www.tiktok.com/@vee_nailedit/video/7443629192085884191</t>
    </r>
  </si>
  <si>
    <t>Vee Mendoza</t>
  </si>
  <si>
    <t>https://p16-pu-sign-useast8.tiktokcdn-us.com/tos-useast8-p-0068-tx2/okfzjzIBC5BpVN0i0FiquEAVidAmIAB6oOAKsA~tplv-tiktokx-dmt-logom:tos-useast8-i-0068-tx2/o0IKhjEOfmaKqL3bf0CGrAAIq0IeA5mApQAXIi.image?dr=10393&amp;x-expires=1757631600&amp;x-signature=ryNyYIkYqkfPBvn8K9nIZS2IPfQ%3D&amp;t=4d5b0474&amp;ps=13740610&amp;shp=81f88b70&amp;shcp=43f4a2f9&amp;idc=no1a</t>
  </si>
  <si>
    <t>The perfect gift ♥️ @SKIMS • #skimstryonhaul #matchingset #christmasgift #loungeset #skimspartner</t>
  </si>
  <si>
    <t>✨Petite Fashion • 5’3 • Lifestyle ✨📍Florida ✉️ Vee_nailedit@hotmail.com</t>
  </si>
  <si>
    <t>https://www.tiktok.com/@vee_nailedit</t>
  </si>
  <si>
    <t>vee_nailedit</t>
  </si>
  <si>
    <r>
      <rPr>
        <u/>
        <sz val="12"/>
        <color rgb="FF1155CC"/>
        <rFont val="Calibri"/>
        <family val="2"/>
        <scheme val="minor"/>
      </rPr>
      <t>https://www.tiktok.com/@sadieemckennaa/video/7378230860904008965</t>
    </r>
  </si>
  <si>
    <t>https://p16-sign-va.tiktokcdn.com/tos-maliva-p-0068/bb9c563c1df84e409b2366b3cd3911d5_1717878247~tplv-tiktokx-origin.image?dr=10395&amp;x-expires=1757631600&amp;x-signature=0OojQFpaMypqgZ5utnDQ29%2FrIGY%3D&amp;t=4d5b0474&amp;ps=13740610&amp;shp=81f88b70&amp;shcp=43f4a2f9&amp;idc=no1a</t>
  </si>
  <si>
    <t>all time favorite dress #skimspartner @SKIMS</t>
  </si>
  <si>
    <t>6897912773704811522</t>
  </si>
  <si>
    <r>
      <rPr>
        <u/>
        <sz val="12"/>
        <color rgb="FF1155CC"/>
        <rFont val="Calibri"/>
        <family val="2"/>
        <scheme val="minor"/>
      </rPr>
      <t>https://www.tiktok.com/@j.lty/video/7476102334880222486</t>
    </r>
  </si>
  <si>
    <t>no such thing as a SKIMS dupe</t>
  </si>
  <si>
    <t>https://p16-pu-sign-no.tiktokcdn-eu.com/tos-no1a-p-0037-no/oYAZgwDAAInAFDtNukfCRt5i3fukcHEIAEFiUE~tplv-tiktokx-origin.image?dr=10395&amp;x-expires=1757631600&amp;x-signature=j%2BsDjg%2BTWuUDuvf%2B5WS5rogFhks%3D&amp;t=4d5b0474&amp;ps=13740610&amp;shp=81f88b70&amp;shcp=43f4a2f9&amp;idc=no1a</t>
  </si>
  <si>
    <t>@SKIMS #skimspartner #SKIMScotton #SKIMS #skimsdupe</t>
  </si>
  <si>
    <t>collabs/pr: jasminelaity1@outlook.com insta @jazlaity all my links below ⬇️</t>
  </si>
  <si>
    <t>https://www.tiktok.com/@j.lty</t>
  </si>
  <si>
    <t>JAZ.L</t>
  </si>
  <si>
    <t>j.lty</t>
  </si>
  <si>
    <t>6765902383782233093</t>
  </si>
  <si>
    <r>
      <rPr>
        <u/>
        <sz val="12"/>
        <color rgb="FF1155CC"/>
        <rFont val="Calibri"/>
        <family val="2"/>
        <scheme val="minor"/>
      </rPr>
      <t>https://www.tiktok.com/@reinadombrovska555/video/7413468600884890913</t>
    </r>
  </si>
  <si>
    <t>https://p16-pu-sign-no.tiktokcdn-eu.com/tos-no1a-p-0037c700-no/b0ea938df14e4d4c81a0ee2c6bb4777c_1726082724~tplv-tiktokx-origin.image?dr=10395&amp;x-expires=1757631600&amp;x-signature=ZlWf0yst5ZFlaoQrw3nLNUzN9NU%3D&amp;t=4d5b0474&amp;ps=13740610&amp;shp=81f88b70&amp;shcp=43f4a2f9&amp;idc=no1a</t>
  </si>
  <si>
    <t>I am thoroughly shaped and impressed ✨✨ @SKIMS #skimspartner *gifted (Size S in cocao)</t>
  </si>
  <si>
    <t>Reina 🍒 💌 UGC + PR inquiries: reinadombrovska@gmail.com 🇮🇪</t>
  </si>
  <si>
    <t>https://www.tiktok.com/@reinadombrovska555</t>
  </si>
  <si>
    <t>Reina🍉</t>
  </si>
  <si>
    <t>reinadombrovska555</t>
  </si>
  <si>
    <r>
      <rPr>
        <u/>
        <sz val="12"/>
        <color rgb="FF1155CC"/>
        <rFont val="Calibri"/>
        <family val="2"/>
        <scheme val="minor"/>
      </rPr>
      <t>https://www.tiktok.com/@eralcci/video/7283620794595331359</t>
    </r>
  </si>
  <si>
    <t>Iloveslowedmusic🧸</t>
  </si>
  <si>
    <t>Fellinluvwithmybestfriend</t>
  </si>
  <si>
    <t>https://p16-pu-sign-useast8.tiktokcdn-us.com/tos-useast8-p-0068-tx2/oYYlZ12wHAOVCRNfAI8yFPVn6bPtfRJDEEBYpQ~tplv-tiktokx-origin.image?dr=10395&amp;x-expires=1757631600&amp;x-signature=uJdK%2BLD9ZbzRKypfeD7c%2F95RTHM%3D&amp;t=4d5b0474&amp;ps=13740610&amp;shp=81f88b70&amp;shcp=43f4a2f9&amp;idc=no1a</t>
  </si>
  <si>
    <t>UNREALLLL unboxing soon🛍️🤪✨😊💖 #skims #skimsinfluencer #skimspartner #skimsinfluencers #dreampartnership</t>
  </si>
  <si>
    <t>Hii loves😊⭐️🫐🎲 📧 Links↓</t>
  </si>
  <si>
    <t>https://www.tiktok.com/@eralcci</t>
  </si>
  <si>
    <t>eralcci</t>
  </si>
  <si>
    <t>7057164471333127173</t>
  </si>
  <si>
    <r>
      <rPr>
        <u/>
        <sz val="12"/>
        <color rgb="FF1155CC"/>
        <rFont val="Calibri"/>
        <family val="2"/>
        <scheme val="minor"/>
      </rPr>
      <t>https://www.tiktok.com/@michellesegredo/video/7277997826867514667</t>
    </r>
  </si>
  <si>
    <t>michellesegredo</t>
  </si>
  <si>
    <t>https://p19-sign.tiktokcdn-us.com/tos-useast5-p-0068-tx/ef7f8dd2fc29495d81d176b76a89bb9a_1694540934~tplv-tiktokx-origin.image?dr=10395&amp;x-expires=1757631600&amp;x-signature=VRS3N%2FcRl5EFDgDn5poJKxsJ8xs%3D&amp;t=4d5b0474&amp;ps=13740610&amp;shp=81f88b70&amp;shcp=43f4a2f9&amp;idc=no1a</t>
  </si>
  <si>
    <t>@SKIMS wearing a size small in light heather grey folded pants and shirt🤍 the most comfortable and soft set i have ever owned! #SKIMScottoncollection, #bestbasics, #loungeset#capcut</t>
  </si>
  <si>
    <t>💌Partnership.michellesegredo@outlook.com. 📍San Francisco</t>
  </si>
  <si>
    <t>https://www.tiktok.com/@michellesegredo</t>
  </si>
  <si>
    <t>7432398992192128005</t>
  </si>
  <si>
    <r>
      <rPr>
        <u/>
        <sz val="12"/>
        <color rgb="FF1155CC"/>
        <rFont val="Calibri"/>
        <family val="2"/>
        <scheme val="minor"/>
      </rPr>
      <t>https://www.tiktok.com/@tikershopofficial/video/7439595605925678391</t>
    </r>
  </si>
  <si>
    <t>Mega Stoke</t>
  </si>
  <si>
    <t>som original - Mega Stoke</t>
  </si>
  <si>
    <t>https://p16-sign-va.tiktokcdn.com/tos-maliva-i-e1os8tt47a-us/11179164ea844990ac1853a25f613632~tplv-tiktokx-origin.image?dr=10395&amp;x-expires=1757631600&amp;x-signature=4ObCmieP3a7cE2FmcQAcEhRkNqU%3D&amp;t=4d5b0474&amp;ps=13740610&amp;shp=81f88b70&amp;shcp=43f4a2f9&amp;idc=no1a</t>
  </si>
  <si>
    <t>🔥 50% OFF Today Only! 🔥 Get Seamless, Sculpted Confidence with Our Shapewear Bodysuit. #shapewea #bodysuit #fyp #snatched #fashiontiktok #slimming #body #forwomen #bestbodysuit #skims #skimspartner #tummycontrol</t>
  </si>
  <si>
    <t>All Products in Tikershop.com Black prices for November!!@ + 5OFF</t>
  </si>
  <si>
    <t>https://www.tiktok.com/@tikershopofficial</t>
  </si>
  <si>
    <t>tikershopofficial</t>
  </si>
  <si>
    <t>6692162619795407877</t>
  </si>
  <si>
    <r>
      <rPr>
        <u/>
        <sz val="12"/>
        <color rgb="FF1155CC"/>
        <rFont val="Calibri"/>
        <family val="2"/>
        <scheme val="minor"/>
      </rPr>
      <t>https://www.tiktok.com/@jacimariesmith/video/7294057303119056158</t>
    </r>
  </si>
  <si>
    <t>https://p16-pu-sign-useast8.tiktokcdn-us.com/tos-useast8-p-0068-tx2/oIfREEHLtec5YIV5s6BEIPvsABFoElAbOXDVJE~tplv-tiktokx-origin.image?dr=9636&amp;x-expires=1757631600&amp;x-signature=zh9oOQH%2BVZYUnj%2BCZ2LXpBZGtkQ%3D&amp;t=4d5b0474&amp;ps=13740610&amp;shp=81f88b70&amp;shcp=43f4a2f9&amp;idc=useast8</t>
  </si>
  <si>
    <t>#duet with @SKIMS ur an inspiration @Leif #skims</t>
  </si>
  <si>
    <t>SmithJaciMarieGroup@caa.com</t>
  </si>
  <si>
    <t>https://www.tiktok.com/@jacimariesmith</t>
  </si>
  <si>
    <t>jacimariesmith</t>
  </si>
  <si>
    <t>6801614160239182853</t>
  </si>
  <si>
    <r>
      <rPr>
        <u/>
        <sz val="12"/>
        <color rgb="FF1155CC"/>
        <rFont val="Calibri"/>
        <family val="2"/>
        <scheme val="minor"/>
      </rPr>
      <t>https://www.tiktok.com/@kelssopretty/video/7475120375777725742</t>
    </r>
  </si>
  <si>
    <t>https://p16-pu-sign-useast8.tiktokcdn-us.com/tos-useast5-p-0068-tx/okocEOAk2B6gAAA3jVA8PFEAiB7iZI9gk4zCh~tplv-tiktokx-origin.image?dr=9636&amp;x-expires=1757631600&amp;x-signature=Y2fM8Ex5Z3afD7Bs%2FkwIRJpZ1Ic%3D&amp;t=4d5b0474&amp;ps=13740610&amp;shp=81f88b70&amp;shcp=43f4a2f9&amp;idc=useast8</t>
  </si>
  <si>
    <t>@SKIMS I’m witchaaa! #skimspartner #SKIMSFitsEverybody #SKIMS #skimsdupe</t>
  </si>
  <si>
    <t>fashion, lifestyle + beauty girl kelsei@digitalstreamers.com</t>
  </si>
  <si>
    <t>https://www.tiktok.com/@kelssopretty</t>
  </si>
  <si>
    <t>kelssopretty</t>
  </si>
  <si>
    <t>6532066445658947585</t>
  </si>
  <si>
    <r>
      <rPr>
        <u/>
        <sz val="12"/>
        <color rgb="FF1155CC"/>
        <rFont val="Calibri"/>
        <family val="2"/>
        <scheme val="minor"/>
      </rPr>
      <t>https://www.tiktok.com/@iamsamiira_/video/7498782269193162015</t>
    </r>
  </si>
  <si>
    <t>G Sounds</t>
  </si>
  <si>
    <t>champagne</t>
  </si>
  <si>
    <t>https://p19-pu-sign-useast8.tiktokcdn-us.com/tos-useast8-p-0068-tx2/ocIiQAEARDIEAWDoWFAffEPigbjEKEAAVLQZCM~tplv-tiktokx-origin.image?dr=9636&amp;x-expires=1757631600&amp;x-signature=fY0I8H1aMKm%2BYAmK4pwL%2FEn%2BKrw%3D&amp;t=4d5b0474&amp;ps=13740610&amp;shp=81f88b70&amp;shcp=43f4a2f9&amp;idc=useast8</t>
  </si>
  <si>
    <t>officially a @SKIMS summer ❤️ Summer Collection drops 5/1 at 9AM PST #skimspartner</t>
  </si>
  <si>
    <t>samira@portraitmgmt.com 🇸🇴</t>
  </si>
  <si>
    <t>https://www.tiktok.com/@iamsamiira_</t>
  </si>
  <si>
    <t>samira</t>
  </si>
  <si>
    <t>iamsamiira_</t>
  </si>
  <si>
    <t>6801477412263724033</t>
  </si>
  <si>
    <r>
      <rPr>
        <u/>
        <sz val="12"/>
        <color rgb="FF1155CC"/>
        <rFont val="Calibri"/>
        <family val="2"/>
        <scheme val="minor"/>
      </rPr>
      <t>https://www.tiktok.com/@meemshou/video/7449925527000960286</t>
    </r>
  </si>
  <si>
    <t>MEEMS</t>
  </si>
  <si>
    <t>https://p19-pu-sign-useast8.tiktokcdn-us.com/tos-useast8-p-0068-tx2/o8cACBZ2lAA29iUACizJBUjE5EjAPBNhhR2CI~tplv-tiktokx-origin.image?dr=9636&amp;x-expires=1757631600&amp;x-signature=vXXA6gTsZSs4%2FGunVs8ED6GKhME%3D&amp;t=4d5b0474&amp;ps=13740610&amp;shp=81f88b70&amp;shcp=43f4a2f9&amp;idc=useast5</t>
  </si>
  <si>
    <t>The perfect get-out-of-friend-zone lil black slip @SKIMS now I get why it went viral #skimspartner</t>
  </si>
  <si>
    <t>Born to be a Chinese princess, forced to be a strong independent woman.</t>
  </si>
  <si>
    <t>https://www.tiktok.com/@meemshou</t>
  </si>
  <si>
    <t>meemshou</t>
  </si>
  <si>
    <r>
      <rPr>
        <u/>
        <sz val="12"/>
        <color rgb="FF1155CC"/>
        <rFont val="Calibri"/>
        <family val="2"/>
        <scheme val="minor"/>
      </rPr>
      <t>https://www.tiktok.com/@_kais.spam_/video/7533244620688428318</t>
    </r>
  </si>
  <si>
    <t>https://p19-pu-sign-useast8.tiktokcdn-us.com/tos-useast8-p-0068-tx2/owfodiROEFDiPLpEqdFU7IUtEWv8IAB63fCVtA~tplv-tiktokx-origin.image?dr=9636&amp;x-expires=1757631600&amp;x-signature=DUerN8t1v0HYzq2pfQ6ehS%2Bh%2BKE%3D&amp;t=4d5b0474&amp;ps=13740610&amp;shp=81f88b70&amp;shcp=43f4a2f9&amp;idc=useast5</t>
  </si>
  <si>
    <t>Stay tuned!! 👀 @SKIMS #vlog #skims #skimspartner #georgetown #dmv</t>
  </si>
  <si>
    <t>6764590593931920389</t>
  </si>
  <si>
    <r>
      <rPr>
        <u/>
        <sz val="12"/>
        <color rgb="FF1155CC"/>
        <rFont val="Calibri"/>
        <family val="2"/>
        <scheme val="minor"/>
      </rPr>
      <t>https://www.tiktok.com/@mananamariee/video/7450290960359017770</t>
    </r>
  </si>
  <si>
    <t>mananamariee</t>
  </si>
  <si>
    <t>https://p19-pu-sign-useast8.tiktokcdn-us.com/tos-useast5-p-0068-tx/ocZABq2BTmBLiCBEAAkgDg1uEBwIAvi4VkBKA~tplv-tiktokx-origin.image?dr=9636&amp;x-expires=1757631600&amp;x-signature=3YxQPw4SqI%2BPm%2FoSAZ5s9MoZw74%3D&amp;t=4d5b0474&amp;ps=13740610&amp;shp=81f88b70&amp;shcp=43f4a2f9&amp;idc=useast5</t>
  </si>
  <si>
    <t>@SKIMS for everybody #skimspartner</t>
  </si>
  <si>
    <t>Banana with an M Armenian 💌 manana@lulucreativemedia.com</t>
  </si>
  <si>
    <t>https://www.tiktok.com/@mananamariee</t>
  </si>
  <si>
    <r>
      <rPr>
        <u/>
        <sz val="12"/>
        <color rgb="FF1155CC"/>
        <rFont val="Calibri"/>
        <family val="2"/>
        <scheme val="minor"/>
      </rPr>
      <t>https://www.tiktok.com/@itsjadasasha/video/7470268447771872543</t>
    </r>
  </si>
  <si>
    <t>jada sasha</t>
  </si>
  <si>
    <t>https://p16-pu-sign-useast8.tiktokcdn-us.com/tos-useast8-p-0068-tx2/okCPAuTqXFCA4E7AEnEDtbfyIAadAmfPEVr2JR~tplv-tiktokx-dmt-logom:tos-useast8-i-0068-tx2/o4GazyAKEiDxWVAiduzCrBbB1IkPKaAfAA2iCI.image?dr=9634&amp;x-expires=1757631600&amp;x-signature=D9NbX%2BYljuqidinGutfJ%2Fio8pCE%3D&amp;t=4d5b0474&amp;ps=13740610&amp;shp=81f88b70&amp;shcp=43f4a2f9&amp;idc=useast5</t>
  </si>
  <si>
    <t>she’s POKING okay!!😭 @SKIMS Body drops 2/13 at 9 AM PST #skimspartner #bestshapewear #creatorsearchinsights</t>
  </si>
  <si>
    <t>ig: itsjadasasha DUHHH 🤭🫶🏽 🦑 @Netflix 💌: itsjadasasha@gmail.com</t>
  </si>
  <si>
    <t>https://www.tiktok.com/@itsjadasasha</t>
  </si>
  <si>
    <t>itsjadasasha</t>
  </si>
  <si>
    <t>6890383256324260870</t>
  </si>
  <si>
    <r>
      <rPr>
        <u/>
        <sz val="12"/>
        <color rgb="FF1155CC"/>
        <rFont val="Calibri"/>
        <family val="2"/>
        <scheme val="minor"/>
      </rPr>
      <t>https://www.tiktok.com/@daanawilliamson/video/7444310799734017322</t>
    </r>
  </si>
  <si>
    <t>Da’ana Williamson</t>
  </si>
  <si>
    <t>https://p19-pu-sign-useast8.tiktokcdn-us.com/tos-useast5-p-0068-tx/o4AIwiwAIB4EzAgvPA2pBeT0qB9BCBiPJm6BaI~tplv-tiktokx-origin.image?dr=9636&amp;x-expires=1757631600&amp;x-signature=jgVlgeqlHfseC3dHx8YMcru6Vbw%3D&amp;t=4d5b0474&amp;ps=13740610&amp;shp=81f88b70&amp;shcp=43f4a2f9&amp;idc=useast5</t>
  </si>
  <si>
    <t>GRWU for the day! 🩷✨🤭 Matching in our @SKIMS today #skimspartner</t>
  </si>
  <si>
    <t>Mama+Wife🤍 kayla.whiteh@thedigitalbrandarchitects.com ATX📍 IG:daanawilliamson</t>
  </si>
  <si>
    <t>https://www.tiktok.com/@daanawilliamson</t>
  </si>
  <si>
    <t>daanawilliamson</t>
  </si>
  <si>
    <t>6734117323571774469</t>
  </si>
  <si>
    <r>
      <rPr>
        <u/>
        <sz val="12"/>
        <color rgb="FF1155CC"/>
        <rFont val="Calibri"/>
        <family val="2"/>
        <scheme val="minor"/>
      </rPr>
      <t>https://www.tiktok.com/@badgaledie/video/7508071380454280470</t>
    </r>
  </si>
  <si>
    <t>Thee Sinseers &amp; Joey Quinones</t>
  </si>
  <si>
    <t>Sinseerly Yours</t>
  </si>
  <si>
    <t>https://p16-common-sign-no.tiktokcdn-us.com/tos-no1a-p-0037-no/osiOyAw0GAvFCnSAi8iQAIBBSVyfIU4ACimwEB~tplv-tiktokx-dmt-logom:tos-no1a-i-0068-no/okMeyy85A19AQXAILCyFAJIfQZILBECAjfAASQ.image?dr=9634&amp;x-expires=1757631600&amp;x-signature=189p7oTFem4dTp7Rf7DeAF1M0Yg%3D&amp;t=4d5b0474&amp;ps=13740610&amp;shp=81f88b70&amp;shcp=43f4a2f9&amp;idc=useast5</t>
  </si>
  <si>
    <t>Replying to @SKIMS thank you @SKIMS !!! also posting a more detailed try on so check my page for that 😘 #SKIMSpartner #SKIMS #tryonhaul #pr 🤍</t>
  </si>
  <si>
    <t>yale grad | model | nyc 📍 / ldn social - 💌 kamie@jabberhaus.com</t>
  </si>
  <si>
    <t>https://www.tiktok.com/@badgaledie</t>
  </si>
  <si>
    <t>eden✨</t>
  </si>
  <si>
    <t>badgaledie</t>
  </si>
  <si>
    <t>6771248598970958853</t>
  </si>
  <si>
    <r>
      <rPr>
        <u/>
        <sz val="12"/>
        <color rgb="FF1155CC"/>
        <rFont val="Calibri"/>
        <family val="2"/>
        <scheme val="minor"/>
      </rPr>
      <t>https://www.tiktok.com/@charniqg/video/7275734950618467626</t>
    </r>
  </si>
  <si>
    <t>NIQ 💋</t>
  </si>
  <si>
    <t>https://p16-pu-sign-useast8.tiktokcdn-us.com/tos-useast5-p-0068-tx/e285f50e81fd4cdc95bf0c8f2b2d1404_1694014063~tplv-tiktokx-origin.image?dr=9636&amp;x-expires=1757631600&amp;x-signature=NLexukP69DTwlJRIlS2Cl04oi%2Fk%3D&amp;t=4d5b0474&amp;ps=13740610&amp;shp=81f88b70&amp;shcp=43f4a2f9&amp;idc=useast5</t>
  </si>
  <si>
    <t>Cheers to answered prayers and manifestations 🩷✨ it only gets better from here!!! #positivemindset #skimspartner #influencertips</t>
  </si>
  <si>
    <t>Pretty Inside &amp; Out Living an abundant life 💌 info@charniqg.com 📍Dallas</t>
  </si>
  <si>
    <t>https://www.tiktok.com/@charniqg</t>
  </si>
  <si>
    <t>charniqg</t>
  </si>
  <si>
    <r>
      <rPr>
        <u/>
        <sz val="12"/>
        <color rgb="FF1155CC"/>
        <rFont val="Calibri"/>
        <family val="2"/>
        <scheme val="minor"/>
      </rPr>
      <t>https://www.tiktok.com/@_kais.spam_/video/7535542889573600542</t>
    </r>
  </si>
  <si>
    <t>https://p19-pu-sign-useast8.tiktokcdn-us.com/tos-useast8-p-0068-tx2/oYMI0eznrAAjGHwQC2NIALCqQIJLQpf2RexSis~tplv-tiktokx-origin.image?dr=9636&amp;x-expires=1757631600&amp;x-signature=2HApH4rubvGdE2d3hHs13JwNpQ0%3D&amp;t=4d5b0474&amp;ps=13740610&amp;shp=81f88b70&amp;shcp=43f4a2f9&amp;idc=useast5</t>
  </si>
  <si>
    <t>Cozy essentials for a campus reset ����📖 #skimspartner #skimsbacktoschool #skims #back2school #college @SKIMS</t>
  </si>
  <si>
    <t>141140993138962432</t>
  </si>
  <si>
    <r>
      <rPr>
        <u/>
        <sz val="12"/>
        <color rgb="FF1155CC"/>
        <rFont val="Calibri"/>
        <family val="2"/>
        <scheme val="minor"/>
      </rPr>
      <t>https://www.tiktok.com/@postmalone/video/7540332595851103502</t>
    </r>
  </si>
  <si>
    <t>Post Malone</t>
  </si>
  <si>
    <t>https://p16-pu-sign-useast8.tiktokcdn-us.com/tos-useast5-p-0068-tx/oEWjmSICeAkvlkkJIikzpqAEGeAOLHAe8EARUI~tplv-tiktokx-origin.image?dr=9636&amp;x-expires=1757631600&amp;x-signature=4rQnmR8Ft4HMawohRbsdv9FI9mo%3D&amp;t=4d5b0474&amp;ps=13740610&amp;shp=81f88b70&amp;shcp=43f4a2f9&amp;idc=useast5</t>
  </si>
  <si>
    <t>you’re in for a treat @SKIMS #skimspartner</t>
  </si>
  <si>
    <t>F-1 Trillion: Long Bed out now</t>
  </si>
  <si>
    <t>https://www.tiktok.com/@postmalone</t>
  </si>
  <si>
    <t>postmalone</t>
  </si>
  <si>
    <t>6819561615726756869</t>
  </si>
  <si>
    <r>
      <rPr>
        <u/>
        <sz val="12"/>
        <color rgb="FF1155CC"/>
        <rFont val="Calibri"/>
        <family val="2"/>
        <scheme val="minor"/>
      </rPr>
      <t>https://www.tiktok.com/@kristinaquintana/video/7393009218623753515</t>
    </r>
  </si>
  <si>
    <t>Kristina</t>
  </si>
  <si>
    <t>https://p16-sign.tiktokcdn-us.com/tos-useast5-p-0068-tx/08409fbe76b6429984ef77706df7411f_1721319103~tplv-tiktokx-origin.image?dr=9636&amp;x-expires=1757631600&amp;x-signature=wVw3XfJJalMkIWqVSKdZgb%2Brwpc%3D&amp;t=4d5b0474&amp;ps=13740610&amp;shp=81f88b70&amp;shcp=43f4a2f9&amp;idc=useast5</t>
  </si>
  <si>
    <t>I’ll take one in every color 🙋🏼‍♀️🤩 the @SKIMS soft lounge dress wins in every category 🥰 #skimspartner</t>
  </si>
  <si>
    <t>wife to Nick &amp; mommy to Jack 🤍 💌 kristinaquintana@underscoretalent.com</t>
  </si>
  <si>
    <t>https://www.tiktok.com/@kristinaquintana</t>
  </si>
  <si>
    <t>kristinaquintana</t>
  </si>
  <si>
    <t>6685166722276639749</t>
  </si>
  <si>
    <r>
      <rPr>
        <u/>
        <sz val="12"/>
        <color rgb="FF1155CC"/>
        <rFont val="Calibri"/>
        <family val="2"/>
        <scheme val="minor"/>
      </rPr>
      <t>https://www.tiktok.com/@de1ksha/video/7490033385713175850</t>
    </r>
  </si>
  <si>
    <t>https://p16-pu-sign-useast8.tiktokcdn-us.com/tos-useast5-p-0068-tx/ooADOjnRA8R4imcEiPADnEIBxgiSeANCt2fRcy~tplv-tiktokx-origin.image?dr=9636&amp;x-expires=1757631600&amp;x-signature=AeqWeSmBGfPTXAGK3R%2F2AekSATU%3D&amp;t=4d5b0474&amp;ps=13740610&amp;shp=81f88b70&amp;shcp=43f4a2f9&amp;idc=useast5</t>
  </si>
  <si>
    <t>🖤 @SKIMS #skimspartner #skimscotton #skims #skimsdupe #fyp</t>
  </si>
  <si>
    <t>🇮🇳 @deik bay area 💌: deiksha.inquiries@gmail.com</t>
  </si>
  <si>
    <t>https://www.tiktok.com/@de1ksha</t>
  </si>
  <si>
    <t>deiksha</t>
  </si>
  <si>
    <t>de1ksha</t>
  </si>
  <si>
    <r>
      <rPr>
        <u/>
        <sz val="12"/>
        <color rgb="FF1155CC"/>
        <rFont val="Calibri"/>
        <family val="2"/>
        <scheme val="minor"/>
      </rPr>
      <t>https://www.tiktok.com/@jillian.bruno/video/7535595559332089119</t>
    </r>
  </si>
  <si>
    <t>Jillian</t>
  </si>
  <si>
    <t>https://p16-pu-sign-useast8.tiktokcdn-us.com/tos-useast8-p-0068-tx2/oQEEEkiVkIA85oneLQ0xTfCrbAE9sBDGoILRJF~tplv-tiktokx-origin.image?dr=9636&amp;x-expires=1757631600&amp;x-signature=OrZXcEiBQC1C27TET4tuUSadfO4%3D&amp;t=4d5b0474&amp;ps=13740610&amp;shp=81f88b70&amp;shcp=43f4a2f9&amp;idc=useast5</t>
  </si>
  <si>
    <t>Comfy + cute is ALWAYS my formula for outfits on campus and ofc @SKIMS delivered as usual🩶 #skimspartner</t>
  </si>
  <si>
    <t>nyc + nola!!! coffee &amp; vlogs &amp; such😌 ✉️: jillian@thekairgroup.com</t>
  </si>
  <si>
    <t>https://www.tiktok.com/@jillian.bruno</t>
  </si>
  <si>
    <t>jillian.bruno</t>
  </si>
  <si>
    <t>6571954501975228422</t>
  </si>
  <si>
    <r>
      <rPr>
        <u/>
        <sz val="12"/>
        <color rgb="FF1155CC"/>
        <rFont val="Calibri"/>
        <family val="2"/>
        <scheme val="minor"/>
      </rPr>
      <t>https://www.tiktok.com/@maliyatrevinoo/video/7535136031029366046</t>
    </r>
  </si>
  <si>
    <t>MALIYA</t>
  </si>
  <si>
    <t>https://p19-pu-sign-useast8.tiktokcdn-us.com/tos-useast8-p-0068-tx2/ocAP4lwfRoE72VE0BeDSo4FiAlokAA8E78LzIE~tplv-tiktokx-origin.image?dr=9636&amp;x-expires=1757631600&amp;x-signature=qFKDQs02CCTuYv3Gy6LObGqZyMI%3D&amp;t=4d5b0474&amp;ps=13740610&amp;shp=81f88b70&amp;shcp=43f4a2f9&amp;idc=useast5</t>
  </si>
  <si>
    <t>Come along with us to shoot for The Campus Collection @SKIMS! 🎀 #skimspartner</t>
  </si>
  <si>
    <t>univ of alabama 🐘 brands: 💌 noa.skikne@thedigitalbrandarchitects.com💌</t>
  </si>
  <si>
    <t>https://www.tiktok.com/@maliyatrevinoo</t>
  </si>
  <si>
    <t>maliyatrevinoo</t>
  </si>
  <si>
    <t>6580974626519154694</t>
  </si>
  <si>
    <r>
      <rPr>
        <u/>
        <sz val="12"/>
        <color rgb="FF1155CC"/>
        <rFont val="Calibri"/>
        <family val="2"/>
        <scheme val="minor"/>
      </rPr>
      <t>https://www.tiktok.com/@sophadophaa/video/7523374360430710034</t>
    </r>
  </si>
  <si>
    <t>soph</t>
  </si>
  <si>
    <t>https://p16-common-sign-sg.tiktokcdn-us.com/tos-alisg-p-0037/oojDbnG2LrDT0yQp8jf6ACMIyveQQoMeAQMrZI~tplv-tiktokx-origin.image?dr=9636&amp;x-expires=1757631600&amp;x-signature=wctEltyOADaKRYyt3HDjAb16ho0%3D&amp;t=4d5b0474&amp;ps=13740610&amp;shp=81f88b70&amp;shcp=43f4a2f9&amp;idc=useast5</t>
  </si>
  <si>
    <t>Wait I’m OBSESSED @SKIMS ✨✨ #skimspartner</t>
  </si>
  <si>
    <t>hey 🎀✨ Co Founder @all for mimi management@sophadopha.com</t>
  </si>
  <si>
    <t>https://www.tiktok.com/@sophadophaa</t>
  </si>
  <si>
    <t>sophadophaa</t>
  </si>
  <si>
    <t>6695526488228365318</t>
  </si>
  <si>
    <r>
      <rPr>
        <u/>
        <sz val="12"/>
        <color rgb="FF1155CC"/>
        <rFont val="Calibri"/>
        <family val="2"/>
        <scheme val="minor"/>
      </rPr>
      <t>https://www.tiktok.com/@leilajoness/video/7392699158601141534</t>
    </r>
  </si>
  <si>
    <t>BossMan Dlow</t>
  </si>
  <si>
    <t>Mr Pot Scraper</t>
  </si>
  <si>
    <t>https://p19-pu-sign-useast8.tiktokcdn-us.com/tos-useast8-p-0068-tx2/8841f5f2db1f491e80cb9884d5607544_1721246914~tplv-tiktokx-origin.image?dr=9636&amp;x-expires=1757631600&amp;x-signature=3gef53X%2Fse1LrDET83kzDRWZSlk%3D&amp;t=4d5b0474&amp;ps=13740610&amp;shp=81f88b70&amp;shcp=43f4a2f9&amp;idc=useast5</t>
  </si>
  <si>
    <t>feels like christmas everytime they send me a package 😩 #fyp #SKIMSpartner @SKIMS</t>
  </si>
  <si>
    <t>NYC | NJ | PA 💌: leilajones0106@gmail.com</t>
  </si>
  <si>
    <t>https://www.tiktok.com/@leilajoness</t>
  </si>
  <si>
    <t>leilajones</t>
  </si>
  <si>
    <t>leilajoness</t>
  </si>
  <si>
    <t>6545437561074515969</t>
  </si>
  <si>
    <r>
      <rPr>
        <u/>
        <sz val="12"/>
        <color rgb="FF1155CC"/>
        <rFont val="Calibri"/>
        <family val="2"/>
        <scheme val="minor"/>
      </rPr>
      <t>https://www.tiktok.com/@ybukiii/video/7548157892944235797</t>
    </r>
  </si>
  <si>
    <t>Stunna Sandy</t>
  </si>
  <si>
    <t>Make It Look Sexy</t>
  </si>
  <si>
    <t>https://p16-common-sign-sg.tiktokcdn-us.com/tos-alisg-p-0037/oAzHJvHyQIOo7ezDO4RIAG0CgQFYolheAAeL2j~tplv-tiktokx-origin.image?dr=9636&amp;x-expires=1757631600&amp;x-signature=2ZV6aZPnrU1WO33MtTxKoVW3d7Y%3D&amp;t=4d5b0474&amp;ps=13740610&amp;shp=81f88b70&amp;shcp=43f4a2f9&amp;idc=useast5</t>
  </si>
  <si>
    <t>size XXS 🥸 @SKIMS #skimspartner #skims #set #sleepwear #fyp</t>
  </si>
  <si>
    <t>fashion &amp; beauty 🪷 💌 sozimazoeee@gmail.com ph 🇵🇭 | us 🇺🇸</t>
  </si>
  <si>
    <t>https://www.tiktok.com/@ybukiii</t>
  </si>
  <si>
    <t>Zoe 𐙚</t>
  </si>
  <si>
    <t>ybukiii</t>
  </si>
  <si>
    <t>6717787870696145925</t>
  </si>
  <si>
    <r>
      <rPr>
        <u/>
        <sz val="12"/>
        <color rgb="FF1155CC"/>
        <rFont val="Calibri"/>
        <family val="2"/>
        <scheme val="minor"/>
      </rPr>
      <t>https://www.tiktok.com/@jennabachrach2/video/7517761186742553870</t>
    </r>
  </si>
  <si>
    <t>Athostvz</t>
  </si>
  <si>
    <t>It girl, Fashion, Glamour</t>
  </si>
  <si>
    <t>https://p16-sign.tiktokcdn-us.com/tos-useast5-p-0068-tx/os93Cfa0BB50iDkCrUidjvIBKApIR9yw6qI6kA~tplv-tiktokx-dmt-logom:tos-useast5-i-0068-tx/ooiNGEkvBg0iUB4B0dzBAAYFAayIARFuEA2WA.image?dr=10393&amp;x-expires=1757631600&amp;x-signature=YuKw7oIzR0Hg89c4fy50CeAK9dE%3D&amp;t=4d5b0474&amp;ps=13740610&amp;shp=81f88b70&amp;shcp=43f4a2f9&amp;idc=no1a</t>
  </si>
  <si>
    <t>@SKIMS i’m obsesseddd with the cayenne red ♥️♥️ #skimspartner #skims #skimsreview #cottonjersey #skimshaul #skimsbras #skimstryon</t>
  </si>
  <si>
    <t>nj jennabachrach8@gmail.com</t>
  </si>
  <si>
    <t>https://www.tiktok.com/@jennabachrach2</t>
  </si>
  <si>
    <t>Jenna Bachrach</t>
  </si>
  <si>
    <t>jennabachrach2</t>
  </si>
  <si>
    <t>6776026324438123526</t>
  </si>
  <si>
    <r>
      <rPr>
        <u/>
        <sz val="12"/>
        <color rgb="FF1155CC"/>
        <rFont val="Calibri"/>
        <family val="2"/>
        <scheme val="minor"/>
      </rPr>
      <t>https://www.tiktok.com/@tiffanygranted/video/7330619892774882606</t>
    </r>
  </si>
  <si>
    <t>Megacreate</t>
  </si>
  <si>
    <t>Aesthetic Vibes</t>
  </si>
  <si>
    <t>https://p16-sign.tiktokcdn-us.com/tos-useast5-p-0068-tx/330381d9cbf242edb8f24a4366f16dc1_1706792966~tplv-tiktokx-origin.image?dr=10395&amp;x-expires=1757631600&amp;x-signature=1PxW6whmZ9EFvZGt3q9ynFbj5kw%3D&amp;t=4d5b0474&amp;ps=13740610&amp;shp=81f88b70&amp;shcp=43f4a2f9&amp;idc=no1a</t>
  </si>
  <si>
    <t>Thank you @SKIMS i will be breaking hearts all of this month 🥰#skimspartner #skimsvalentinesshop #outfitinspo #flamboyantgamine #kibbebodytypes</t>
  </si>
  <si>
    <t>digital scrapbook of a beautiful life Tiffluence@gmail.com</t>
  </si>
  <si>
    <t>https://www.tiktok.com/@tiffanygranted</t>
  </si>
  <si>
    <t>IG: @tiffanygranted</t>
  </si>
  <si>
    <t>tiffanygranted</t>
  </si>
  <si>
    <t>6953073666273068038</t>
  </si>
  <si>
    <r>
      <rPr>
        <u/>
        <sz val="12"/>
        <color rgb="FF1155CC"/>
        <rFont val="Calibri"/>
        <family val="2"/>
        <scheme val="minor"/>
      </rPr>
      <t>https://www.tiktok.com/@ramrandomm/video/7497005765287415086</t>
    </r>
  </si>
  <si>
    <t>RAMZ</t>
  </si>
  <si>
    <t>https://p16-sign.tiktokcdn-us.com/tos-useast5-p-0068-tx/osT4Ik0qjGAibsAJAWLeHjQAAIzA1ElFQSeeVI~tplv-tiktokx-origin.image?dr=10395&amp;x-expires=1757631600&amp;x-signature=QUtt7RVQhdf9sentyA5tW5cTSbM%3D&amp;t=4d5b0474&amp;ps=13740610&amp;shp=81f88b70&amp;shcp=43f4a2f9&amp;idc=no1a</t>
  </si>
  <si>
    <t>My face says it all… @SKIMS #skimspartner GO GET THIS BRA ASAP ✨🩵🫧🎀</t>
  </si>
  <si>
    <t>az state 🤸🏼‍♂️✨🫶🏻🫐🎀👱🏻‍♀️🫧🩵 💌ramwilsonn@icloud.com</t>
  </si>
  <si>
    <t>https://www.tiktok.com/@ramrandomm</t>
  </si>
  <si>
    <t>ramrandomm</t>
  </si>
  <si>
    <t>7044490511353660422</t>
  </si>
  <si>
    <r>
      <rPr>
        <u/>
        <sz val="12"/>
        <color rgb="FF1155CC"/>
        <rFont val="Calibri"/>
        <family val="2"/>
        <scheme val="minor"/>
      </rPr>
      <t>https://www.tiktok.com/@stellacrli/video/7429711110883790112</t>
    </r>
  </si>
  <si>
    <t>broskiladoski069</t>
  </si>
  <si>
    <t>She</t>
  </si>
  <si>
    <t>https://p16-sign-va.tiktokcdn.com/tos-maliva-i-e1os8tt47a-us/5d272baad928480dbf406eb572fc92c1~tplv-tiktokx-origin.image?dr=10395&amp;x-expires=1757631600&amp;x-signature=ZL6FwU0qMrBYXIi4%2FYsdPlnDsSY%3D&amp;t=4d5b0474&amp;ps=13740610&amp;shp=81f88b70&amp;shcp=43f4a2f9&amp;idc=no1a</t>
  </si>
  <si>
    <t>I need this shirt in every single color it just fits so PERFECT @SKIMS #skims #skimspartner #deepberry #softsmoothingseamless</t>
  </si>
  <si>
    <t>Fashion 💌 corrostellabsn@gmail.com outfit links ⬇️</t>
  </si>
  <si>
    <t>https://www.tiktok.com/@stellacrli</t>
  </si>
  <si>
    <t>stella ☆</t>
  </si>
  <si>
    <t>stellacrli</t>
  </si>
  <si>
    <t>7343793436078834731</t>
  </si>
  <si>
    <r>
      <rPr>
        <u/>
        <sz val="12"/>
        <color rgb="FF1155CC"/>
        <rFont val="Calibri"/>
        <family val="2"/>
        <scheme val="minor"/>
      </rPr>
      <t>https://www.tiktok.com/@raye.hazel/video/7493639653451484459</t>
    </r>
  </si>
  <si>
    <t>raye.hazel</t>
  </si>
  <si>
    <t>https://p16-sign.tiktokcdn-us.com/tos-useast5-p-0068-tx/okK1AgafRWf7TiXIQfQM0580g5FfA8eUcQ9PNM~tplv-tiktokx-origin.image?dr=10395&amp;x-expires=1757631600&amp;x-signature=gw%2BDvijUYgXwJxMB8O1wnmAu%2FUk%3D&amp;t=4d5b0474&amp;ps=13740610&amp;shp=81f88b70&amp;shcp=43f4a2f9&amp;idc=no1a</t>
  </si>
  <si>
    <t>THE SEARCH FOR THE PERFECT PUSH-UP BRA IS OVER😆 shop @SKIMS in my bio💘#SKIMSPartner #skimspartner #skimsbra #skimsreview #pushupbra</t>
  </si>
  <si>
    <t>🇳🇬📍D.C. raye.oji@gmail.com ⭐️certified fashion enthusiast⭐️</t>
  </si>
  <si>
    <t>https://www.tiktok.com/@raye.hazel</t>
  </si>
  <si>
    <t>6737090078890656773</t>
  </si>
  <si>
    <r>
      <rPr>
        <u/>
        <sz val="12"/>
        <color rgb="FF1155CC"/>
        <rFont val="Calibri"/>
        <family val="2"/>
        <scheme val="minor"/>
      </rPr>
      <t>https://www.tiktok.com/@sydneysilverman_/video/7544083904504827150</t>
    </r>
  </si>
  <si>
    <t>Lofuu &amp; Shiloh Dynasty &amp; dprk</t>
  </si>
  <si>
    <t>love song (hesitations) (sped up)</t>
  </si>
  <si>
    <t>https://p16-sign.tiktokcdn-us.com/tos-useast5-p-0068-tx/ogXTH5fDkQgnjNRIleNm1YjfjCGAaEhoFL5WQA~tplv-tiktokx-origin.image?dr=10395&amp;x-expires=1757631600&amp;x-signature=3jkzPxX6DJfk%2FLKp6NlPDgHh98s%3D&amp;t=4d5b0474&amp;ps=13740610&amp;shp=81f88b70&amp;shcp=43f4a2f9&amp;idc=no1a</t>
  </si>
  <si>
    <t>coffee walks in my @SKIMS #SkimsPartner</t>
  </si>
  <si>
    <t>Los Angeles ⚡️🍊🤘🏽🧃🪩🫡🪄 sydney@sydneyteam.com</t>
  </si>
  <si>
    <t>https://www.tiktok.com/@sydneysilverman_</t>
  </si>
  <si>
    <t>Sydney Silverman</t>
  </si>
  <si>
    <t>sydneysilverman_</t>
  </si>
  <si>
    <t>6532013008929996802</t>
  </si>
  <si>
    <r>
      <rPr>
        <u/>
        <sz val="12"/>
        <color rgb="FF1155CC"/>
        <rFont val="Calibri"/>
        <family val="2"/>
        <scheme val="minor"/>
      </rPr>
      <t>https://www.tiktok.com/@briannafornes_/video/7331067911278202158</t>
    </r>
  </si>
  <si>
    <t>Brianna 🦋</t>
  </si>
  <si>
    <t>https://p19-sign.tiktokcdn-us.com/tos-useast5-p-0068-tx/e2b848f0e23b441eab17b4e750058a2f_1706897307~tplv-tiktokx-dmt-logom:tos-useast5-i-0068-tx/ooEACI47mABv0ATkAAAgBEZmLj9TXgTi5cibP.image?dr=10393&amp;x-expires=1757631600&amp;x-signature=BHyCtFFubT%2FNGm%2BiW0RGKuSF%2BGs%3D&amp;t=4d5b0474&amp;ps=13740610&amp;shp=81f88b70&amp;shcp=43f4a2f9&amp;idc=no1a</t>
  </si>
  <si>
    <t>shes an icon @SKIMS 💝 #SKIMS #SKIMSValentinesShop #SKIMSPartner #skimsdress #valentinesdayoutfit</t>
  </si>
  <si>
    <t>daily favs wellness lifestyle, fashion, beauty 💌collaborate@briannafornes.com</t>
  </si>
  <si>
    <t>https://www.tiktok.com/@briannafornes_</t>
  </si>
  <si>
    <t>briannafornes_</t>
  </si>
  <si>
    <t>7285077296104014881</t>
  </si>
  <si>
    <r>
      <rPr>
        <u/>
        <sz val="12"/>
        <color rgb="FF1155CC"/>
        <rFont val="Calibri"/>
        <family val="2"/>
        <scheme val="minor"/>
      </rPr>
      <t>https://www.tiktok.com/@st114k/video/7543979945601666326</t>
    </r>
  </si>
  <si>
    <t>Piero Piccioni</t>
  </si>
  <si>
    <t>Amore mio aiutami - Version 3</t>
  </si>
  <si>
    <t>https://p16-pu-sign-no.tiktokcdn-eu.com/tos-no1a-p-0037-no/osTdGELicZBoICwKyaCYBFbwmdAxiIZGBZYvB~tplv-tiktokx-origin.image?dr=10395&amp;x-expires=1757631600&amp;x-signature=6titW6pGfEp0zRHM%2BdclHrandWY%3D&amp;t=4d5b0474&amp;ps=13740610&amp;shp=81f88b70&amp;shcp=43f4a2f9&amp;idc=no1a</t>
  </si>
  <si>
    <t>ootd wearing only skims 🖤 @SKIMS paired with @UGG® tazz #skims #skimsoutfit #skimsbodysuit #skimssweatpants #outfitinspo #ootdinspo #casualfashion #cozystyle #uggs #uggseason #autumnoutfits #girly #girlythings #trend #fy #fyp #xybzca #viral</t>
  </si>
  <si>
    <t>beauty | fashion | lifestyle Pinterest: st114kanna 💌 : @anna2332@outlook.de</t>
  </si>
  <si>
    <t>https://www.tiktok.com/@st114k</t>
  </si>
  <si>
    <t>anna🤍🎧</t>
  </si>
  <si>
    <t>st114k</t>
  </si>
  <si>
    <t>6788278780324889606</t>
  </si>
  <si>
    <r>
      <rPr>
        <u/>
        <sz val="12"/>
        <color rgb="FF1155CC"/>
        <rFont val="Calibri"/>
        <family val="2"/>
        <scheme val="minor"/>
      </rPr>
      <t>https://www.tiktok.com/@simmykinns/video/7435041200404499755</t>
    </r>
  </si>
  <si>
    <t>simmykinns🍒</t>
  </si>
  <si>
    <t>https://p16-sign.tiktokcdn-us.com/tos-useast5-p-0068-tx/db6d06fd55c743d888ebfaa61813c894_1731105437~tplv-tiktokx-origin.image?dr=10395&amp;x-expires=1757631600&amp;x-signature=GNhEnnsIJkpXoce1y7PyxGf5Vzg%3D&amp;t=4d5b0474&amp;ps=13740610&amp;shp=81f88b70&amp;shcp=43f4a2f9&amp;idc=no1a</t>
  </si>
  <si>
    <t>your @SKIMS favorites are now on #tiktokshop #skimspartner #skims #loungewear</t>
  </si>
  <si>
    <t>🇵🇰 @therealdba simranahadparvez@gmail.com</t>
  </si>
  <si>
    <t>https://www.tiktok.com/@simmykinns</t>
  </si>
  <si>
    <t>simmykinns</t>
  </si>
  <si>
    <t>6701292034009416709</t>
  </si>
  <si>
    <r>
      <rPr>
        <u/>
        <sz val="12"/>
        <color rgb="FF1155CC"/>
        <rFont val="Calibri"/>
        <family val="2"/>
        <scheme val="minor"/>
      </rPr>
      <t>https://www.tiktok.com/@oliviawagnerr/video/7423163283424677162</t>
    </r>
  </si>
  <si>
    <t>olivia wagner</t>
  </si>
  <si>
    <t>https://p16-sign.tiktokcdn-us.com/tos-useast5-p-0068-tx/2fbda46665b648f090bf5ff1fe63a83b_1728339892~tplv-tiktokx-dmt-logom:tos-useast5-i-0068-tx/osvLOHQyeADvAQAwIBAIEfWIykF2jC5EJALkfA.image?dr=10393&amp;x-expires=1757631600&amp;x-signature=p6%2Ftq3r%2BUl39VPAhByMjld43aeU%3D&amp;t=4d5b0474&amp;ps=13740610&amp;shp=81f88b70&amp;shcp=43f4a2f9&amp;idc=no1a</t>
  </si>
  <si>
    <t>@SKIMS before and after of the seamless sculpt bodysuit! if you can't tell... i'm obsessed!!! #skimspartner #skimsshapewear #skims #skimsreview #skimsbodysuit #skimstryon #tryon</t>
  </si>
  <si>
    <t>personal ig: @olivia.wagnerrr makeup page ig: @oliviagrace_mua</t>
  </si>
  <si>
    <t>https://www.tiktok.com/@oliviawagnerr</t>
  </si>
  <si>
    <t>oliviawagnerr</t>
  </si>
  <si>
    <t>6614320026898120709</t>
  </si>
  <si>
    <r>
      <rPr>
        <u/>
        <sz val="12"/>
        <color rgb="FF1155CC"/>
        <rFont val="Calibri"/>
        <family val="2"/>
        <scheme val="minor"/>
      </rPr>
      <t>https://www.tiktok.com/@jessarakelyan/video/7470265457426124063</t>
    </r>
  </si>
  <si>
    <t>jessarakelyan</t>
  </si>
  <si>
    <t>https://p16-pu-sign-useast8.tiktokcdn-us.com/tos-useast8-p-0068-tx2/okA0ZvUAIi6BRACtmux0ArQlBAEE953KX5Eyi~tplv-tiktokx-origin.image?dr=10395&amp;x-expires=1757631600&amp;x-signature=NOnLI1n2cSsuXKz3G6N%2Bcx62A0E%3D&amp;t=4d5b0474&amp;ps=13740610&amp;shp=81f88b70&amp;shcp=43f4a2f9&amp;idc=no1a</t>
  </si>
  <si>
    <t>Who would’ve thought butt pads could be this good? @SKIMS Body drops 2/13 at 9AM PST #skimspartner #bestshapewear</t>
  </si>
  <si>
    <t>a little bit of everything here ✉️ Hijessarakelyan@gmail.com</t>
  </si>
  <si>
    <t>https://www.tiktok.com/@jessarakelyan</t>
  </si>
  <si>
    <t>6917523249614308357</t>
  </si>
  <si>
    <r>
      <rPr>
        <u/>
        <sz val="12"/>
        <color rgb="FF1155CC"/>
        <rFont val="Calibri"/>
        <family val="2"/>
        <scheme val="minor"/>
      </rPr>
      <t>https://www.tiktok.com/@sunisalee_/video/7402662726901845278</t>
    </r>
  </si>
  <si>
    <t>https://p16-pu-sign-useast8.tiktokcdn-us.com/tos-useast8-p-0068-tx2/8339e428f97e43d5a7b7b6746cd811d9_1723566743~tplv-tiktokx-origin.image?dr=10395&amp;x-expires=1757631600&amp;x-signature=x7GqMma0X%2F4Q%2Bcj7cJ5%2BposbMdU%3D&amp;t=4d5b0474&amp;ps=13740610&amp;shp=81f88b70&amp;shcp=43f4a2f9&amp;idc=no1a</t>
  </si>
  <si>
    <t>Everybody’s wearing @SKIMS on Team USA #SKIMSPartner</t>
  </si>
  <si>
    <t>2x olympic gold medalist 👻 sunisalee</t>
  </si>
  <si>
    <t>https://www.tiktok.com/@sunisalee_</t>
  </si>
  <si>
    <t>suni</t>
  </si>
  <si>
    <t>sunisalee_</t>
  </si>
  <si>
    <t>6774966290803622917</t>
  </si>
  <si>
    <r>
      <rPr>
        <u/>
        <sz val="12"/>
        <color rgb="FF1155CC"/>
        <rFont val="Calibri"/>
        <family val="2"/>
        <scheme val="minor"/>
      </rPr>
      <t>https://www.tiktok.com/@leiannegeangan/video/7410551861377322286</t>
    </r>
  </si>
  <si>
    <t>https://p16-sign.tiktokcdn-us.com/tos-useast5-p-0068-tx/6f8f3a5bd2904079b886a6e7e1b7ae12_1725403566~tplv-tiktokx-origin.image?dr=10395&amp;x-expires=1757631600&amp;x-signature=6oG2%2B48D1mh6UbZjPulwlvjJtY4%3D&amp;t=4d5b0474&amp;ps=13740610&amp;shp=81f88b70&amp;shcp=43f4a2f9&amp;idc=no1a</t>
  </si>
  <si>
    <t>Excited to try on @SKIMS viral bodysuit 💖 I truly like how snatching and smoothing the bodysuit is! #skimspartner #skims #skimsreview #viralbodysuit #shapewear #bodysuit #tryon #tryonhaul</t>
  </si>
  <si>
    <t>Nurse 🩺 | Fashion | Travel ✈️ 📧: leiannemarig@gmail.com</t>
  </si>
  <si>
    <t>https://www.tiktok.com/@leiannegeangan</t>
  </si>
  <si>
    <t>Leianne Geangan</t>
  </si>
  <si>
    <t>leiannegeangan</t>
  </si>
  <si>
    <t>7175598536072332334</t>
  </si>
  <si>
    <r>
      <rPr>
        <u/>
        <sz val="12"/>
        <color rgb="FF1155CC"/>
        <rFont val="Calibri"/>
        <family val="2"/>
        <scheme val="minor"/>
      </rPr>
      <t>https://www.tiktok.com/@krissymeridieth/video/7345118887521897771</t>
    </r>
  </si>
  <si>
    <t>Krissy ☻</t>
  </si>
  <si>
    <t>https://p19-sign.tiktokcdn-us.com/tos-useast5-p-0068-tx/95a6eaff8b064422bca32fd79a780c17_1710168807~tplv-tiktokx-dmt-logom:tos-useast5-i-0068-tx/oUaeBPw5CiEJIuGPDAywiBvvEbI8AAJKDBQAxo.image?dr=10393&amp;x-expires=1757631600&amp;x-signature=ifrkiBK7HOoNWQwD2szBGXgwTls%3D&amp;t=4d5b0474&amp;ps=13740610&amp;shp=81f88b70&amp;shcp=43f4a2f9&amp;idc=no1a</t>
  </si>
  <si>
    <t>Skims Bodysuit Unboxing &amp; Try-On!! @SKIMS #skims #skimsreview #skimshaul #skimstryon #skimstryonhaul #skimsbodysuit #skimspartner #blackbodysuit #kimk #foryou #fyp #trendy #microinfluencer #contentcreator #growingyourplatform #tryonhaul #tryon</t>
  </si>
  <si>
    <t>Making a hobby out of spending way too much money 💌krissymeridieth3@gmail.com</t>
  </si>
  <si>
    <t>https://www.tiktok.com/@krissymeridieth</t>
  </si>
  <si>
    <t>krissymeridieth</t>
  </si>
  <si>
    <t>6800357029066245122</t>
  </si>
  <si>
    <r>
      <rPr>
        <u/>
        <sz val="12"/>
        <color rgb="FF1155CC"/>
        <rFont val="Calibri"/>
        <family val="2"/>
        <scheme val="minor"/>
      </rPr>
      <t>https://www.tiktok.com/@nicolechikwe/video/7340256587279338757</t>
    </r>
  </si>
  <si>
    <t>Nicole Chikwe</t>
  </si>
  <si>
    <t>https://p16-sign-va.tiktokcdn.com/tos-maliva-p-0068/4e50bab53b684f3f9014afe5605d7f25_1709036672~tplv-tiktokx-origin.image?dr=10395&amp;x-expires=1757631600&amp;x-signature=iq%2FL3vQn5CYGA%2FfrINPP8Dwag7o%3D&amp;t=4d5b0474&amp;ps=13740610&amp;shp=81f88b70&amp;shcp=43f4a2f9&amp;idc=no1a</t>
  </si>
  <si>
    <t>The coziest Sleep Set I’ve ever had! Need this @SKIMS Soft Lounge set in every single color ASAP 😍 #skimspartner #skimssoftlounge #SKIMS</t>
  </si>
  <si>
    <t>Media Personality, Mummy Mogul and Pie-in-Chief of the Premium Pies</t>
  </si>
  <si>
    <t>https://www.tiktok.com/@nicolechikwe</t>
  </si>
  <si>
    <t>nicolechikwe</t>
  </si>
  <si>
    <t>6615027589030002694</t>
  </si>
  <si>
    <r>
      <rPr>
        <u/>
        <sz val="12"/>
        <color rgb="FF1155CC"/>
        <rFont val="Calibri"/>
        <family val="2"/>
        <scheme val="minor"/>
      </rPr>
      <t>https://www.tiktok.com/@chelsealstone/video/7285444708225092906</t>
    </r>
  </si>
  <si>
    <t>Mitski</t>
  </si>
  <si>
    <t>My Love Mine All Mine</t>
  </si>
  <si>
    <t>https://p16-sign.tiktokcdn-us.com/tos-useast5-p-0068-tx/4a368d9d002f4b2bbc1fec6161ba21af_1696274801~tplv-tiktokx-origin.image?dr=10395&amp;x-expires=1757631600&amp;x-signature=ic74wvTZVpqciKmX0aBwpfKBmQ0%3D&amp;t=4d5b0474&amp;ps=13740610&amp;shp=81f88b70&amp;shcp=43f4a2f9&amp;idc=no1a</t>
  </si>
  <si>
    <t>fall outfit idea #1 featuring my SKIMS fits everybody lace bodysuit 🍂✨ #xybca #october #xyzabc #falloutfitinspo #falloutfitideas #falloutfit #fallfashion #skims #skimspartner #skimsromper #cleangirlaesthetic #fashiontips</t>
  </si>
  <si>
    <t>UCLA ✮⋆˚.⋆ chelseastone222@gmail.com</t>
  </si>
  <si>
    <t>https://www.tiktok.com/@chelsealstone</t>
  </si>
  <si>
    <t>Chelsea Stone</t>
  </si>
  <si>
    <t>chelsealstone</t>
  </si>
  <si>
    <t>6778876558632551429</t>
  </si>
  <si>
    <r>
      <rPr>
        <u/>
        <sz val="12"/>
        <color rgb="FF1155CC"/>
        <rFont val="Calibri"/>
        <family val="2"/>
        <scheme val="minor"/>
      </rPr>
      <t>https://www.tiktok.com/@beingcrystalnicolee/video/7296585276204256555</t>
    </r>
  </si>
  <si>
    <t>CRYSTAL NICOLE</t>
  </si>
  <si>
    <t>https://p16-sign.tiktokcdn-us.com/tos-useast5-p-0068-tx/9b176d78a67843e1a5161d1f9e7d35e5_1698868662~tplv-tiktokx-dmt-logom:tos-useast5-i-0068-tx/oAwAdiVRyBANrGZ1ABBwBKkoiAbEJIfIbCOJC1.image?dr=10393&amp;x-expires=1757631600&amp;x-signature=j1ILmR86ZTS0lSP0aN2mJj8J%2BkA%3D&amp;t=4d5b0474&amp;ps=13740610&amp;shp=81f88b70&amp;shcp=43f4a2f9&amp;idc=no1a</t>
  </si>
  <si>
    <t>Trust me, you will not regret luxuriating your home life with this @SKIMS set #skimspartner #skims #skimssoftlounge #selflovetips #fyp #luxurypajamas</t>
  </si>
  <si>
    <t>beauty | lifestyle | fashion curliecrys@gmail.com</t>
  </si>
  <si>
    <t>https://www.tiktok.com/@beingcrystalnicolee</t>
  </si>
  <si>
    <t>beingcrystalnicolee</t>
  </si>
  <si>
    <t>6651772965677727749</t>
  </si>
  <si>
    <r>
      <rPr>
        <u/>
        <sz val="12"/>
        <color rgb="FF1155CC"/>
        <rFont val="Calibri"/>
        <family val="2"/>
        <scheme val="minor"/>
      </rPr>
      <t>https://www.tiktok.com/@taxicabbbbbbb/video/7410494623115726111</t>
    </r>
  </si>
  <si>
    <t>Emily Metaxas</t>
  </si>
  <si>
    <t>https://p16-pu-sign-useast8.tiktokcdn-us.com/tos-useast8-p-0068-tx2/c2d3cb93059444168b03f6c48c11a6e0_1725390245~tplv-tiktokx-origin.image?dr=10395&amp;x-expires=1757631600&amp;x-signature=w74yQgmS%2FKr5bcprZU4ZZy1LSKc%3D&amp;t=4d5b0474&amp;ps=13740610&amp;shp=81f88b70&amp;shcp=43f4a2f9&amp;idc=no1a</t>
  </si>
  <si>
    <t>This is your sign to get the @SKIMS Seamless Sculpt Bodysuit #skimspartner 🔗 in my bio!</t>
  </si>
  <si>
    <t>nyc 🚕 tiktok shop finds 🤍 💌: emilymetaxas.collabs@gmail.com outfit links ↓</t>
  </si>
  <si>
    <t>https://www.tiktok.com/@taxicabbbbbbb</t>
  </si>
  <si>
    <t>taxicabbbbbbb</t>
  </si>
  <si>
    <t>6685861005376308230</t>
  </si>
  <si>
    <r>
      <rPr>
        <u/>
        <sz val="12"/>
        <color rgb="FF1155CC"/>
        <rFont val="Calibri"/>
        <family val="2"/>
        <scheme val="minor"/>
      </rPr>
      <t>https://www.tiktok.com/@alyssah0warrdd/video/7517095320518528286</t>
    </r>
  </si>
  <si>
    <t>Alyssa Howard</t>
  </si>
  <si>
    <t>https://p16-pu-sign-useast8.tiktokcdn-us.com/tos-useast8-p-0068-tx2/o8LEeEKDAZACzZXFfAoREAA6I8kpMUQVhmwCmV~tplv-tiktokx-dmt-logom:tos-useast8-i-0068-tx2/oYESIAEARFWUAWDoQFBWfSQYdZeElEAAVXhmCO.image?dr=10393&amp;x-expires=1757631600&amp;x-signature=nKedllNHrn3F%2Bh3Iin901H6IWGA%3D&amp;t=4d5b0474&amp;ps=13740610&amp;shp=81f88b70&amp;shcp=43f4a2f9&amp;idc=no1a</t>
  </si>
  <si>
    <t>it's officially a ruby red summer in @SKIMS 🍓💌💋 #skimspartner #skims #rubyred #skimssummer</t>
  </si>
  <si>
    <t>socal your makeup &amp; fashion inspo ⭐️ 💌 alyssahoward@shinetalentgroup.com</t>
  </si>
  <si>
    <t>https://www.tiktok.com/@alyssah0warrdd</t>
  </si>
  <si>
    <t>alyssah0warrdd</t>
  </si>
  <si>
    <t>7037287147701732399</t>
  </si>
  <si>
    <r>
      <rPr>
        <u/>
        <sz val="12"/>
        <color rgb="FF1155CC"/>
        <rFont val="Calibri"/>
        <family val="2"/>
        <scheme val="minor"/>
      </rPr>
      <t>https://www.tiktok.com/@emmadoslak/video/7428338284981456171</t>
    </r>
  </si>
  <si>
    <t>Good Graces</t>
  </si>
  <si>
    <t>https://p16-sign.tiktokcdn-us.com/tos-useast5-p-0068-tx/038bd75aced448f587e86167d7471119_1729544791~tplv-tiktokx-dmt-logom:tos-useast5-i-0068-tx/oYAESIwRgAJODewARFfQsnDCOAF1WEEWlAgTAW.image?dr=10393&amp;x-expires=1757631600&amp;x-signature=4mhaXBaT9YIxYZva4P%2BvIHdJntw%3D&amp;t=4d5b0474&amp;ps=13740610&amp;shp=81f88b70&amp;shcp=43f4a2f9&amp;idc=no1a</t>
  </si>
  <si>
    <t>when the @SKIMS bra is just that good 🫶🏼🫶🏼🫶🏼 #skimspartner #skimsbra #skimshaul #skimstryon #skimsreview</t>
  </si>
  <si>
    <t>🤸🏽‍♀️hi girlies 📍midwest 💌: emmadoslak@gmail.com</t>
  </si>
  <si>
    <t>https://www.tiktok.com/@emmadoslak</t>
  </si>
  <si>
    <t>Emma Doslak</t>
  </si>
  <si>
    <t>emmadoslak</t>
  </si>
  <si>
    <t>6776116510587896837</t>
  </si>
  <si>
    <r>
      <rPr>
        <u/>
        <sz val="12"/>
        <color rgb="FF1155CC"/>
        <rFont val="Calibri"/>
        <family val="2"/>
        <scheme val="minor"/>
      </rPr>
      <t>https://www.tiktok.com/@vmeghanaaa/video/7435713895299337515</t>
    </r>
  </si>
  <si>
    <t>Meghana</t>
  </si>
  <si>
    <t>https://p16-sign.tiktokcdn-us.com/tos-useast5-p-0068-tx/b9d887874a0b414a82e77cc1c162a115_1731262059~tplv-tiktokx-dmt-logom:tos-useast5-i-0068-tx/oUg8DufDSEpORXnEn9CfAMrPwCmAjEZAFAAoIg.image?dr=10393&amp;x-expires=1757631600&amp;x-signature=Ljqpn59tnyPRiga6PoJNpROJ0Oc%3D&amp;t=4d5b0474&amp;ps=13740610&amp;shp=81f88b70&amp;shcp=43f4a2f9&amp;idc=no1a</t>
  </si>
  <si>
    <t>workout routine? nahh it’s the @SKIMS sculpt bodysuit ⌛️ #skimspartnner</t>
  </si>
  <si>
    <t>i don't gatekeep 💅🏽 beauty &amp; wavy hair 📍nyc 💌 vmeghanact@gmail.com</t>
  </si>
  <si>
    <t>https://www.tiktok.com/@vmeghanaaa</t>
  </si>
  <si>
    <t>vmeghanaaa</t>
  </si>
  <si>
    <t>6698355149255246853</t>
  </si>
  <si>
    <r>
      <rPr>
        <u/>
        <sz val="12"/>
        <color rgb="FF1155CC"/>
        <rFont val="Calibri"/>
        <family val="2"/>
        <scheme val="minor"/>
      </rPr>
      <t>https://www.tiktok.com/@summerchristiee4/video/7436048544173231392</t>
    </r>
  </si>
  <si>
    <t>summer christie</t>
  </si>
  <si>
    <t>https://p19-common-sign-useastred.tiktokcdn-eu.com/tos-useast2a-p-0037-euttp/o8ADCt8yDcnIfBL4fEDiiIOxPMJREaFQyOOEsH~tplv-tiktokx-dmt-logom:tos-useast2a-i-0068-euttp/oIzmA3OJIARMB4HCEkAyGhA9AIisnHfTnoBBNi.image?dr=10393&amp;x-expires=1757631600&amp;x-signature=JpJJjDNY4wUiyI8tofxbYxz6eC4%3D&amp;t=4d5b0474&amp;ps=13740610&amp;shp=81f88b70&amp;shcp=43f4a2f9&amp;idc=no1a</t>
  </si>
  <si>
    <t>@SKIMS this essential styling peice is a MUST-HAVE in your wardrobe! AD #skimspartner #skimsfitseverybody #fallfashion secured by @playinfluencermanagement #skims #skimsbodysuit #skimsreview #skimshaul #skimstryon #skimstop #wardrobeessential #longsleevetop #bodysuits #outfitessentials #basicstyle #style #tryonhaul #fashion #foruyou</t>
  </si>
  <si>
    <t>INSTAGRAM summerchristieee 📧 summerchristie9@gmail.com</t>
  </si>
  <si>
    <t>https://www.tiktok.com/@summerchristiee4</t>
  </si>
  <si>
    <t>summerchristiee4</t>
  </si>
  <si>
    <t>6768278728491959301</t>
  </si>
  <si>
    <r>
      <rPr>
        <u/>
        <sz val="12"/>
        <color rgb="FF1155CC"/>
        <rFont val="Calibri"/>
        <family val="2"/>
        <scheme val="minor"/>
      </rPr>
      <t>https://www.tiktok.com/@neahimani/video/7361525184349719813</t>
    </r>
  </si>
  <si>
    <t>pedrin cria</t>
  </si>
  <si>
    <t>Instrumental - Vibe</t>
  </si>
  <si>
    <t>https://p16-sign-va.tiktokcdn.com/tos-maliva-p-0068/osotZYK4fAEtBfDfRCxpfvIA3FGtYpVbrkEEF6~tplv-tiktokx-origin.image?dr=10395&amp;x-expires=1757631600&amp;x-signature=k8%2BTo4soIP%2BkmrtdT7CEq7zWnjQ%3D&amp;t=4d5b0474&amp;ps=13740610&amp;shp=81f88b70&amp;shcp=43f4a2f9&amp;idc=no1a</t>
  </si>
  <si>
    <t>I’m obsessed!!! Wearing a size medium in both pieces. I need this in pink IMMEDIATELY🌸 #skims #skimspartner #skimsswimwear #skimstryon #skimshaul #skimsreview #tryon @SKIMS</t>
  </si>
  <si>
    <t>just a girl inc. neahimanicollab@outlook.com Toronto 🇨🇦</t>
  </si>
  <si>
    <t>https://www.tiktok.com/@neahimani</t>
  </si>
  <si>
    <t>Neah Imani | Lifestyle Creator</t>
  </si>
  <si>
    <t>neahimani</t>
  </si>
  <si>
    <t>7225633632159941674</t>
  </si>
  <si>
    <r>
      <rPr>
        <u/>
        <sz val="12"/>
        <color rgb="FF1155CC"/>
        <rFont val="Calibri"/>
        <family val="2"/>
        <scheme val="minor"/>
      </rPr>
      <t>https://www.tiktok.com/@tanyabellla/video/7327710760577174830</t>
    </r>
  </si>
  <si>
    <t>Tanya</t>
  </si>
  <si>
    <t>https://p16-sign.tiktokcdn-us.com/tos-useast5-p-0068-tx/f3bf142b927f4a8e908d620dd662e77e_1706115631~tplv-tiktokx-dmt-logom:tos-useast5-i-0068-tx/oI3hFAAALFHpfIpiEeLIARGbIYAjtrAQI6eOko.image?dr=10393&amp;x-expires=1757631600&amp;x-signature=VaPB24lwTxiij5TVP0OAF3NYrdg%3D&amp;t=4d5b0474&amp;ps=13740610&amp;shp=81f88b70&amp;shcp=43f4a2f9&amp;idc=no1a</t>
  </si>
  <si>
    <t>never not in my @SKIMS ☁️🤍 #skimspartner #sweatset #skimscottonfleece</t>
  </si>
  <si>
    <t>nyc 🦋 outfits and good living tanyabelllapr@gmail.com</t>
  </si>
  <si>
    <t>https://www.tiktok.com/@tanyabellla</t>
  </si>
  <si>
    <t>tanyabellla</t>
  </si>
  <si>
    <t>6760591454517658630</t>
  </si>
  <si>
    <r>
      <rPr>
        <u/>
        <sz val="12"/>
        <color rgb="FF1155CC"/>
        <rFont val="Calibri"/>
        <family val="2"/>
        <scheme val="minor"/>
      </rPr>
      <t>https://www.tiktok.com/@byfibi/video/7486503114888072470</t>
    </r>
  </si>
  <si>
    <t>80s throwback hits</t>
  </si>
  <si>
    <t>https://p16-pu-sign-no.tiktokcdn-eu.com/tos-no1a-p-0037-no/o8iieuWlzgMfNjGAecQA8TQDfVgQMWrsgueXmM~tplv-tiktokx-origin.image?dr=10395&amp;x-expires=1757631600&amp;x-signature=OYxP%2FOK6qh4hgayI2RIbR%2Fijum0%3D&amp;t=4d5b0474&amp;ps=13740610&amp;shp=81f88b70&amp;shcp=43f4a2f9&amp;idc=no1a</t>
  </si>
  <si>
    <t>the skims collection is GROWING this year 💅🤍🌸✨ @SKIMS #skims #skimshaul #skimspartner #skimstryon</t>
  </si>
  <si>
    <t>fibi 🌸🤍🧚‍♂️🫧 hair, beauty, fashion &amp; girly things ✉️keira@theangelsmgmt.com</t>
  </si>
  <si>
    <t>https://www.tiktok.com/@byfibi</t>
  </si>
  <si>
    <t>fibi 🤍</t>
  </si>
  <si>
    <t>byfibi</t>
  </si>
  <si>
    <t>6813495005153330181</t>
  </si>
  <si>
    <r>
      <rPr>
        <u/>
        <sz val="12"/>
        <color rgb="FF1155CC"/>
        <rFont val="Calibri"/>
        <family val="2"/>
        <scheme val="minor"/>
      </rPr>
      <t>https://www.tiktok.com/@balanced_brittany/video/7357043397716151594</t>
    </r>
  </si>
  <si>
    <t>Balanced Britt | ur WOO girl</t>
  </si>
  <si>
    <t>https://p16-sign.tiktokcdn-us.com/tos-useast5-p-0068-tx/oAKyvIAMeAQMH8grFGjMwBCMeIHkLIHCrufgdh~tplv-tiktokx-origin.image?dr=10395&amp;x-expires=1757631600&amp;x-signature=7D%2Bh0oq1rWEtz6gtXVitZRzQVSU%3D&amp;t=4d5b0474&amp;ps=13740610&amp;shp=81f88b70&amp;shcp=43f4a2f9&amp;idc=no1a</t>
  </si>
  <si>
    <t>#skimspartner hourglass body type try on of the @SKIMS Fits Everybody Cami Bodysuit in a size large! Lmk if youve tried their boydsuits, sleepwear or bras in the comments! Need to know #bodysuitstyle #midsizefashion #curvyfashion #styletip #skimshaul #skimsreview #skimstryon #skimsbodysuit #curvystyle #curvyconfidence</t>
  </si>
  <si>
    <t>IG: balanced_brittany ✨🌸💗 Lea@shinetalentgroup.com</t>
  </si>
  <si>
    <t>https://www.tiktok.com/@balanced_brittany</t>
  </si>
  <si>
    <t>balanced_brittany</t>
  </si>
  <si>
    <t>6637928790885040134</t>
  </si>
  <si>
    <r>
      <rPr>
        <u/>
        <sz val="12"/>
        <color rgb="FF1155CC"/>
        <rFont val="Calibri"/>
        <family val="2"/>
        <scheme val="minor"/>
      </rPr>
      <t>https://www.tiktok.com/@arianavitale/video/7410808376164240671</t>
    </r>
  </si>
  <si>
    <t>Ariana Vitale</t>
  </si>
  <si>
    <t>https://p16-pu-sign-useast8.tiktokcdn-us.com/tos-useast8-p-0068-tx2/4ce3c1d005d4484eab13a383eb89f778_1725463297~tplv-tiktokx-origin.image?dr=10395&amp;x-expires=1757631600&amp;x-signature=aSw76X%2B%2F9ez7crELvG7li1C11cg%3D&amp;t=4d5b0474&amp;ps=13740610&amp;shp=81f88b70&amp;shcp=43f4a2f9&amp;idc=no1a</t>
  </si>
  <si>
    <t>@SKIMS does not play around when it comes to these bodysuits, game changer 👏🏼🖤 #skimspartner #skimsshapewear linked in my bio!</t>
  </si>
  <si>
    <t>MI | FL fitness | lifestyle | fashion arianavitalepr@gmail.com ↓LINKS + AMAZON</t>
  </si>
  <si>
    <t>https://www.tiktok.com/@arianavitale</t>
  </si>
  <si>
    <t>arianavitale</t>
  </si>
  <si>
    <t>6784611723220911110</t>
  </si>
  <si>
    <r>
      <rPr>
        <u/>
        <sz val="12"/>
        <color rgb="FF1155CC"/>
        <rFont val="Calibri"/>
        <family val="2"/>
        <scheme val="minor"/>
      </rPr>
      <t>https://www.tiktok.com/@katymcbride_/video/7416465612081204522</t>
    </r>
  </si>
  <si>
    <t>Katy McBride</t>
  </si>
  <si>
    <t>https://p16-sign-va.tiktokcdn.com/tos-maliva-i-e1os8tt47a-us/59602f3ce8ca495da9728e77e79f43c3~tplv-tiktokx-origin.image?dr=10395&amp;x-expires=1757631600&amp;x-signature=U6K8L3Mbaz1pawEAliQxDgnCRC8%3D&amp;t=4d5b0474&amp;ps=13740610&amp;shp=81f88b70&amp;shcp=43f4a2f9&amp;idc=no1a</t>
  </si>
  <si>
    <t>Kim knows what she’s doing 🤯@SKIMS #SKIMSPartner #skimsshapewear #momstyle #fallfashion #falloutfit #momsoftiktok #momtok #momlife #sahm #stayathomemom #skimstryon #shapewearreview #skimsreview #tryon #fyp</t>
  </si>
  <si>
    <t>mom life + hair tutorials 💗 💌 katymcbridevlogs@gmail.com</t>
  </si>
  <si>
    <t>https://www.tiktok.com/@katymcbride_</t>
  </si>
  <si>
    <t>katymcbride_</t>
  </si>
  <si>
    <r>
      <rPr>
        <u/>
        <sz val="12"/>
        <color rgb="FF1155CC"/>
        <rFont val="Calibri"/>
        <family val="2"/>
        <scheme val="minor"/>
      </rPr>
      <t>https://www.tiktok.com/@coconutcathy/video/7470254613363576095</t>
    </r>
  </si>
  <si>
    <t>cathy</t>
  </si>
  <si>
    <t>https://p16-pu-sign-useast8.tiktokcdn-us.com/tos-useast8-p-0068-tx2/oE2ATDY4IA4lz9Tvr6iAAvECNEutiBZRrHnAB~tplv-tiktokx-dmt-logom:tos-useast8-i-0068-tx2/oIX105ANEEJqU4AE6rnErDTCqISeV5AfAANFCR.image?dr=10393&amp;x-expires=1757631600&amp;x-signature=6BqsfIS9a3%2Bo6GM0nZLxlVjmsr4%3D&amp;t=4d5b0474&amp;ps=13740610&amp;shp=81f88b70&amp;shcp=43f4a2f9&amp;idc=no1a</t>
  </si>
  <si>
    <t>@SKIMS Body drops 2/13 at 9 AM PST #skimspartner #bestshapewear</t>
  </si>
  <si>
    <t>nicole.herrera@thedigitalbrandarchitects.com LA 💋</t>
  </si>
  <si>
    <t>https://www.tiktok.com/@coconutcathy</t>
  </si>
  <si>
    <t>coconutcathy</t>
  </si>
  <si>
    <t>6759639263254758406</t>
  </si>
  <si>
    <r>
      <rPr>
        <u/>
        <sz val="12"/>
        <color rgb="FF1155CC"/>
        <rFont val="Calibri"/>
        <family val="2"/>
        <scheme val="minor"/>
      </rPr>
      <t>https://www.tiktok.com/@hannahslope/video/7446507197145697566</t>
    </r>
  </si>
  <si>
    <t>https://p16-pu-sign-useast8.tiktokcdn-us.com/tos-useast8-p-0068-tx2/ooCXqYAVfAEq57BjADRnfuCyTEEVFEAGQ0AIR1~tplv-tiktokx-origin.image?dr=9636&amp;x-expires=1757631600&amp;x-signature=upiR%2F6XEEOIvYC0n7rO591Gfwl8%3D&amp;t=4d5b0474&amp;ps=13740610&amp;shp=81f88b70&amp;shcp=43f4a2f9&amp;idc=useast5</t>
  </si>
  <si>
    <t>No, I am not a normal person and I WILL NOT be letting this go… @SKIMS #pr #collab #microinfluencer #skimspartner</t>
  </si>
  <si>
    <t>fits | fashion | life 412 hannahfslope@gmail.com</t>
  </si>
  <si>
    <t>https://www.tiktok.com/@hannahslope</t>
  </si>
  <si>
    <t>hannah slope</t>
  </si>
  <si>
    <t>hannahslope</t>
  </si>
  <si>
    <t>6679915048674919429</t>
  </si>
  <si>
    <r>
      <rPr>
        <u/>
        <sz val="12"/>
        <color rgb="FF1155CC"/>
        <rFont val="Calibri"/>
        <family val="2"/>
        <scheme val="minor"/>
      </rPr>
      <t>https://www.tiktok.com/@chloevanberkel/video/7535222279324618015</t>
    </r>
  </si>
  <si>
    <t>Chloe Van Berkel</t>
  </si>
  <si>
    <t>https://p19-pu-sign-useast8.tiktokcdn-us.com/tos-useast8-p-0068-tx2/oI5iBqZdFMAaesLffPXOIjRcpIEARCwJA68kJQ~tplv-tiktokx-origin.image?dr=9636&amp;x-expires=1757631600&amp;x-signature=LH%2Fb45MRzwQOyda6NjF4OQnnujk%3D&amp;t=4d5b0474&amp;ps=13740610&amp;shp=81f88b70&amp;shcp=43f4a2f9&amp;idc=useast5</t>
  </si>
  <si>
    <t>the only clothing you need this back to school season @SKIMS #skimspartner #backtoschool #college #collegeoutfits</t>
  </si>
  <si>
    <t>NJ/NYC/JMU insta chloe.vanberkel 💌 chloe@fromatoztalent.com</t>
  </si>
  <si>
    <t>https://www.tiktok.com/@chloevanberkel</t>
  </si>
  <si>
    <t>chloevanberkel</t>
  </si>
  <si>
    <t>6838470501246108677</t>
  </si>
  <si>
    <r>
      <rPr>
        <u/>
        <sz val="12"/>
        <color rgb="FF1155CC"/>
        <rFont val="Calibri"/>
        <family val="2"/>
        <scheme val="minor"/>
      </rPr>
      <t>https://www.tiktok.com/@jaimecampanella/video/7535825331928845581</t>
    </r>
  </si>
  <si>
    <t>Staysee</t>
  </si>
  <si>
    <t>Trippie Redd Type Beat</t>
  </si>
  <si>
    <t>https://p16-sign.tiktokcdn-us.com/tos-useast5-p-0068-tx/o0RPkC5USBAJU0hhiI4AHzaoBEEABgPlSiAAS~tplv-tiktokx-origin.image?dr=9636&amp;x-expires=1757631600&amp;x-signature=UQHJOpLfRl8EorvNDF92s75%2B480%3D&amp;t=4d5b0474&amp;ps=13740610&amp;shp=81f88b70&amp;shcp=43f4a2f9&amp;idc=useast5</t>
  </si>
  <si>
    <t>SKIMS matching pj sets are my new obsession😩 So comfy and cute! Link to this set in my bio 💋💋@SKIMS #skimspartner #skims #skimsboyshort #pjset</t>
  </si>
  <si>
    <t>NJ | U of Arizona 💌: jaimecampanellaa@gmail.com All my links below!</t>
  </si>
  <si>
    <t>https://www.tiktok.com/@jaimecampanella</t>
  </si>
  <si>
    <t>Jaime Campanella</t>
  </si>
  <si>
    <t>jaimecampanella</t>
  </si>
  <si>
    <t>6729984338425414661</t>
  </si>
  <si>
    <r>
      <rPr>
        <u/>
        <sz val="12"/>
        <color rgb="FF1155CC"/>
        <rFont val="Calibri"/>
        <family val="2"/>
        <scheme val="minor"/>
      </rPr>
      <t>https://www.tiktok.com/@anjana.dhimann/video/7520414868726500614</t>
    </r>
  </si>
  <si>
    <t>anjana &lt;3</t>
  </si>
  <si>
    <t>https://p16-common-sign-va.tiktokcdn-us.com/tos-maliva-p-0068/oEvIgEjCjFaIQA4fdXsu1eYRoeJDICFMSOKCvj~tplv-tiktokx-origin.image?dr=9636&amp;x-expires=1757631600&amp;x-signature=7vAaiYZHdF%2FrcLraXzLvpq%2BWGBs%3D&amp;t=4d5b0474&amp;ps=13740610&amp;shp=81f88b70&amp;shcp=43f4a2f9&amp;idc=useast5</t>
  </si>
  <si>
    <t>Comfy outfit turned into a full look! New @SKIMS cotton jersey shirt &amp; shorts in ruby ❤️ #skimspartner #ad</t>
  </si>
  <si>
    <t>toronto 💌 anjana.dhiman@dulcedo.com I’m cuter on IG: anjana.dhimann</t>
  </si>
  <si>
    <t>https://www.tiktok.com/@anjana.dhimann</t>
  </si>
  <si>
    <t>anjana.dhimann</t>
  </si>
  <si>
    <t>6618211226554220550</t>
  </si>
  <si>
    <r>
      <rPr>
        <u/>
        <sz val="12"/>
        <color rgb="FF1155CC"/>
        <rFont val="Calibri"/>
        <family val="2"/>
        <scheme val="minor"/>
      </rPr>
      <t>https://www.tiktok.com/@alayarobbins/video/7535587434080324894</t>
    </r>
  </si>
  <si>
    <t>Alaya R Drozdowicz</t>
  </si>
  <si>
    <t>https://p16-pu-sign-useast8.tiktokcdn-us.com/tos-useast8-p-0068-tx2/osEAAkeJeWEARI5AIRQMSc8eQANhAHghIqnDxj~tplv-tiktokx-origin.image?dr=9636&amp;x-expires=1757631600&amp;x-signature=HscmjSnq2qOUp2Ea%2FsilThV8moE%3D&amp;t=4d5b0474&amp;ps=13740610&amp;shp=81f88b70&amp;shcp=43f4a2f9&amp;idc=useast5</t>
  </si>
  <si>
    <t>Hit the JACKPOT w/ this set for back to school outfit finds! 💛 @SKIMS #skims #skimspartner #skimsset #backtoschool #ootd #classoutfit #univeristyofalabama</t>
  </si>
  <si>
    <t>AL💛 shopping addiction, fabulous fits &amp; fun 💌 alaya@zink-talent.com</t>
  </si>
  <si>
    <t>https://www.tiktok.com/@alayarobbins</t>
  </si>
  <si>
    <t>alayarobbins</t>
  </si>
  <si>
    <r>
      <rPr>
        <u/>
        <sz val="12"/>
        <color rgb="FF1155CC"/>
        <rFont val="Calibri"/>
        <family val="2"/>
        <scheme val="minor"/>
      </rPr>
      <t>https://www.tiktok.com/@usfkappadelta/video/7542666165332577567</t>
    </r>
  </si>
  <si>
    <t>Nelly Furtado</t>
  </si>
  <si>
    <t>Maneater</t>
  </si>
  <si>
    <t>https://p16-pu-sign-useast8.tiktokcdn-us.com/tos-useast8-p-0068-tx2/ownfhsLeQQHe8HkQ77iRsMvFsQC1Uif8AAbW6G~tplv-tiktokx-origin.image?dr=9636&amp;x-expires=1757631600&amp;x-signature=h8SAc0P6cI0ScPmTJdoa3tIn1r8%3D&amp;t=4d5b0474&amp;ps=13740610&amp;shp=81f88b70&amp;shcp=43f4a2f9&amp;idc=useast5</t>
  </si>
  <si>
    <t>Back to school with @SKIMS ✍️🍎📓 #skimspartner #skims #kd #backtoschool</t>
  </si>
  <si>
    <t>6948452224779912197</t>
  </si>
  <si>
    <r>
      <rPr>
        <u/>
        <sz val="12"/>
        <color rgb="FF1155CC"/>
        <rFont val="Calibri"/>
        <family val="2"/>
        <scheme val="minor"/>
      </rPr>
      <t>https://www.tiktok.com/@its_leah0912/video/7526647176622083342</t>
    </r>
  </si>
  <si>
    <t>𝐩𝐬𝐭𝐝𝐨𝐯𝐞</t>
  </si>
  <si>
    <t>https://p19-pu-sign-useast8.tiktokcdn-us.com/tos-useast5-p-0068-tx/oEADAetoRLoQfCWA8DDA5IksSdCREXFgA0JEMg~tplv-tiktokx-origin.image?dr=9636&amp;x-expires=1757631600&amp;x-signature=VywK4ohZxZHc4%2Bwj178oW2vaFAQ%3D&amp;t=4d5b0474&amp;ps=13740610&amp;shp=81f88b70&amp;shcp=43f4a2f9&amp;idc=useast5</t>
  </si>
  <si>
    <t>@SKIMS IN LOVEEEE !!!#skimspartner #skims #skimstanktop #tanktop #SKIMS #fyp #foryourpage #views #outfit #ootdinspo #outfitinspo #body</t>
  </si>
  <si>
    <t>💋☀️👙MIAMI🐚🌊🐬 💌: leah09122007@gmail.com</t>
  </si>
  <si>
    <t>https://www.tiktok.com/@its_leah0912</t>
  </si>
  <si>
    <t>Leah Suarez</t>
  </si>
  <si>
    <t>its_leah0912</t>
  </si>
  <si>
    <t>6822267787190207494</t>
  </si>
  <si>
    <r>
      <rPr>
        <u/>
        <sz val="12"/>
        <color rgb="FF1155CC"/>
        <rFont val="Calibri"/>
        <family val="2"/>
        <scheme val="minor"/>
      </rPr>
      <t>https://www.tiktok.com/@kendallmaynard25/video/7538899743372594462</t>
    </r>
  </si>
  <si>
    <t>Kenny :)</t>
  </si>
  <si>
    <t>https://p16-pu-sign-useast8.tiktokcdn-us.com/tos-useast8-p-0068-tx2/oMLf1ooxER14AFBEHAVIAAEjg0AnCyDzEQXfRZ~tplv-tiktokx-origin.image?dr=9636&amp;x-expires=1757631600&amp;x-signature=JJ608azivCZRv%2BnvFZQLQlRUJm8%3D&amp;t=4d5b0474&amp;ps=13740610&amp;shp=81f88b70&amp;shcp=43f4a2f9&amp;idc=useast5</t>
  </si>
  <si>
    <t>these are sooo comfy @SKIMS #trending #backtoschool #fyp #famous #skimspartner</t>
  </si>
  <si>
    <t>💌 kendall@insightmedia.com ⇩ shop my faves ⇩</t>
  </si>
  <si>
    <t>https://www.tiktok.com/@kendallmaynard25</t>
  </si>
  <si>
    <t>kendallmaynard25</t>
  </si>
  <si>
    <t>7080321853992027182</t>
  </si>
  <si>
    <r>
      <rPr>
        <u/>
        <sz val="12"/>
        <color rgb="FF1155CC"/>
        <rFont val="Calibri"/>
        <family val="2"/>
        <scheme val="minor"/>
      </rPr>
      <t>https://www.tiktok.com/@selahmolden/video/7537813393269378334</t>
    </r>
  </si>
  <si>
    <t>SELAH</t>
  </si>
  <si>
    <t>https://p16-pu-sign-useast8.tiktokcdn-us.com/tos-useast8-p-0068-tx2/oUCu0RIAqWAiIidsqTIh3TfEGiBbiA7IYBW0Rb~tplv-tiktokx-origin.image?dr=9636&amp;x-expires=1757631600&amp;x-signature=UjpZNeJzkBnY1CqGkBiumBFfYKU%3D&amp;t=4d5b0474&amp;ps=13740610&amp;shp=81f88b70&amp;shcp=43f4a2f9&amp;idc=useast5</t>
  </si>
  <si>
    <t>dressing cute and comfy all school year @SKIMS #skimspartner</t>
  </si>
  <si>
    <t>📧selah@clementinegroup.co insta &amp; YouTube @selah.molden SHEIN link below!⬇️</t>
  </si>
  <si>
    <t>https://www.tiktok.com/@selahmolden</t>
  </si>
  <si>
    <t>selahmolden</t>
  </si>
  <si>
    <r>
      <rPr>
        <u/>
        <sz val="12"/>
        <color rgb="FF1155CC"/>
        <rFont val="Calibri"/>
        <family val="2"/>
        <scheme val="minor"/>
      </rPr>
      <t>https://www.tiktok.com/@carlinaerikinn/video/7537698736042954016</t>
    </r>
  </si>
  <si>
    <t>Gentle State</t>
  </si>
  <si>
    <t>Lofi Vibes</t>
  </si>
  <si>
    <t>https://p16-common-sign-useast2a.tiktokcdn-us.com/tos-useast2a-p-0037-euttp/oIJGAbzIvSZg6ISijwGJY0BpgEiBMdBvIath1~tplv-tiktokx-dmt-logom:tos-useast2a-i-0068-euttp/oYbAnJAHigJCtVwJB0Y2avSiEAkBSEQ3vpIAE.image?dr=9634&amp;x-expires=1757631600&amp;x-signature=2ENCSKmcNRhI3gEfSLeSHvjdohk%3D&amp;t=4d5b0474&amp;ps=13740610&amp;shp=81f88b70&amp;shcp=43f4a2f9&amp;idc=useast5</t>
  </si>
  <si>
    <t>The perfect PJ's for summer @SKIMS 🫶🏻 #SKIMSpartner, #skims, #skimsboyshort, #pjset AD</t>
  </si>
  <si>
    <t>7019753902799438853</t>
  </si>
  <si>
    <r>
      <rPr>
        <u/>
        <sz val="12"/>
        <color rgb="FF1155CC"/>
        <rFont val="Calibri"/>
        <family val="2"/>
        <scheme val="minor"/>
      </rPr>
      <t>https://www.tiktok.com/@jasmine.alishaa/video/7532556621281643781</t>
    </r>
  </si>
  <si>
    <t>𝒥</t>
  </si>
  <si>
    <t>https://p16-common-sign-va.tiktokcdn-us.com/tos-maliva-p-0068/owgUnIgSRCeTCWjuAGCf0IFELRXgSgejMIm1So~tplv-tiktokx-origin.image?dr=9636&amp;x-expires=1757631600&amp;x-signature=eg%2B7OQMmMQ0zR82VcfQ0FJhtnhk%3D&amp;t=4d5b0474&amp;ps=13740610&amp;shp=81f88b70&amp;shcp=43f4a2f9&amp;idc=useast5</t>
  </si>
  <si>
    <t>Love how easy and comfy this face shaper is and my jawline has never been so snatched! shoutout to the @SKIMS face shaper for performing magic 🪄 #skimspartner</t>
  </si>
  <si>
    <t>Ig:Jasmine.alishaa BSc MEd jasmine@idolsandicons.co ↓</t>
  </si>
  <si>
    <t>https://www.tiktok.com/@jasmine.alishaa</t>
  </si>
  <si>
    <t>jasmine.alishaa</t>
  </si>
  <si>
    <r>
      <rPr>
        <u/>
        <sz val="12"/>
        <color rgb="FF1155CC"/>
        <rFont val="Calibri"/>
        <family val="2"/>
        <scheme val="minor"/>
      </rPr>
      <t>https://www.tiktok.com/@mananamariee/video/7360723271727238446</t>
    </r>
  </si>
  <si>
    <t>https://p19-pu-sign-useast8.tiktokcdn-us.com/tos-useast5-p-0068-tx/ad1629923e77476aa2b489dcedff7050_1713801971~tplv-tiktokx-origin.image?dr=9636&amp;x-expires=1757631600&amp;x-signature=XzYsFnucAN7Q4uuPT2SgjzCXgPM%3D&amp;t=4d5b0474&amp;ps=13740610&amp;shp=81f88b70&amp;shcp=43f4a2f9&amp;idc=useast5</t>
  </si>
  <si>
    <t>Ladies... the 2-in-1 custom fit bra we NEEDED our entire lives 🫣 New @SKIMS Bras drop 4/24 at 9 AM PST #skimspartner #bestbra #bratryon #ad</t>
  </si>
  <si>
    <t>6743365671482557445</t>
  </si>
  <si>
    <r>
      <rPr>
        <u/>
        <sz val="12"/>
        <color rgb="FF1155CC"/>
        <rFont val="Calibri"/>
        <family val="2"/>
        <scheme val="minor"/>
      </rPr>
      <t>https://www.tiktok.com/@paulinareitman/video/7524445047396355341</t>
    </r>
  </si>
  <si>
    <t>Paulina</t>
  </si>
  <si>
    <t>https://p16-sign.tiktokcdn-us.com/tos-useast5-p-0068-tx/oYsPgbDAAIoAFBXMJSfCRtTMx98NMDEsAEDexE~tplv-tiktokx-origin.image?dr=9636&amp;x-expires=1757631600&amp;x-signature=WZ1xXR%2FSkXLXDJwAIZi2JFzLAeI%3D&amp;t=4d5b0474&amp;ps=13740610&amp;shp=81f88b70&amp;shcp=43f4a2f9&amp;idc=useast5</t>
  </si>
  <si>
    <t>proof the @SKIMS capri catsuit really does it all #skimspartner</t>
  </si>
  <si>
    <t>New York/Miami💫 Fashion + Wellness👩🏻‍🍳 💌paulinareitman@palettemgmt.com</t>
  </si>
  <si>
    <t>https://www.tiktok.com/@paulinareitman</t>
  </si>
  <si>
    <t>paulinareitman</t>
  </si>
  <si>
    <r>
      <rPr>
        <u/>
        <sz val="12"/>
        <color rgb="FF1155CC"/>
        <rFont val="Calibri"/>
        <family val="2"/>
        <scheme val="minor"/>
      </rPr>
      <t>https://www.tiktok.com/@alissaandrea/video/7525168683455352078</t>
    </r>
  </si>
  <si>
    <t>https://p16-pu-sign-useast8.tiktokcdn-us.com/tos-useast5-p-0068-tx/ooDbSInQDsDUsCiFgEfkA9AAFFZdAoDE36ARed~tplv-tiktokx-dmt-logom:tos-useast5-i-0068-tx/ogfRIEUyulnKDAgdYUCfQ2XigAFkDoAsbhDSAE.image?dr=9634&amp;x-expires=1757631600&amp;x-signature=qA7qFWjGLYi7G4%2BHpDHhiUpdl0Q%3D&amp;t=4d5b0474&amp;ps=13740610&amp;shp=81f88b70&amp;shcp=43f4a2f9&amp;idc=useast5</t>
  </si>
  <si>
    <t>The after result of this push up bra is insane! This is the new ultimate super push up bra from @skims 💛 #skimspartner #pushupbra #tryon #skimsreview</t>
  </si>
  <si>
    <t>6743102358111667206</t>
  </si>
  <si>
    <r>
      <rPr>
        <u/>
        <sz val="12"/>
        <color rgb="FF1155CC"/>
        <rFont val="Calibri"/>
        <family val="2"/>
        <scheme val="minor"/>
      </rPr>
      <t>https://www.tiktok.com/@_erikamayo/video/7538453597621701910</t>
    </r>
  </si>
  <si>
    <t>𝐀𝐄𝐂𝐙𝐑𝐕</t>
  </si>
  <si>
    <t>https://p16-common-sign-no.tiktokcdn-us.com/tos-no1a-p-0037-no/oYChb2BiIEtUHZPLf9RIdD6DOIJCIelfAA1Faj~tplv-tiktokx-origin.image?dr=9636&amp;x-expires=1757631600&amp;x-signature=dMZo3mJbbb%2Bo%2FmRY1u4JPECypKY%3D&amp;t=4d5b0474&amp;ps=13740610&amp;shp=81f88b70&amp;shcp=43f4a2f9&amp;idc=useast5</t>
  </si>
  <si>
    <t>I have literally lived in this set - it’s too soft x @SKIMS , #SKIMSpartner, #skims, #skimsboyshort, #pjset shop my link - https://link.skims.com/gg9tm6ri 🖤</t>
  </si>
  <si>
    <t>Insta - @_erikamayo 💌erikarachelmayo24@gmail.com</t>
  </si>
  <si>
    <t>https://www.tiktok.com/@_erikamayo</t>
  </si>
  <si>
    <t>Erika Mayo</t>
  </si>
  <si>
    <t>_erikamayo</t>
  </si>
  <si>
    <t>74393802819436544</t>
  </si>
  <si>
    <r>
      <rPr>
        <u/>
        <sz val="12"/>
        <color rgb="FF1155CC"/>
        <rFont val="Calibri"/>
        <family val="2"/>
        <scheme val="minor"/>
      </rPr>
      <t>https://www.tiktok.com/@kaitlynedejer/video/7546318552538697015</t>
    </r>
  </si>
  <si>
    <t>https://p16-sign.tiktokcdn-us.com/tos-useast5-p-0068-tx/oIIL3VIAk8AL8I90lfj6eceTkGGpHCtQqEZRqz~tplv-tiktokx-origin.image?dr=9636&amp;x-expires=1757631600&amp;x-signature=cRXl0G7yC98%2BNLd4f0wMt0CiGF8%3D&amp;t=4d5b0474&amp;ps=13740610&amp;shp=81f88b70&amp;shcp=43f4a2f9&amp;idc=useast5</t>
  </si>
  <si>
    <t>college classes in comfort @SKIMS 🖤☁️ #skimspartner #skims #backtoschool #collegeclass #sweatset</t>
  </si>
  <si>
    <t>bay area 🧚🏼‍♀️🎀⭐️ usf college,vlogs &amp; life 📧: kaitlynedejer@yahoo.com</t>
  </si>
  <si>
    <t>https://www.tiktok.com/@kaitlynedejer</t>
  </si>
  <si>
    <t>Kaitlyn Edejer</t>
  </si>
  <si>
    <t>kaitlynedejer</t>
  </si>
  <si>
    <t>6803089676765905926</t>
  </si>
  <si>
    <r>
      <rPr>
        <u/>
        <sz val="12"/>
        <color rgb="FF1155CC"/>
        <rFont val="Calibri"/>
        <family val="2"/>
        <scheme val="minor"/>
      </rPr>
      <t>https://www.tiktok.com/@ssamanthacho/video/7538834735657717005</t>
    </r>
  </si>
  <si>
    <t>bb Gosha</t>
  </si>
  <si>
    <t>https://p16-sign.tiktokcdn-us.com/tos-useast5-p-0068-tx/oMER1YQf6EGYH6DlBgfOFqASFEQTlQO9D1noUE~tplv-tiktokx-origin.image?dr=9636&amp;x-expires=1757631600&amp;x-signature=aFgNhmaZ4WVgGApSa5McFEQhBXM%3D&amp;t=4d5b0474&amp;ps=13740610&amp;shp=81f88b70&amp;shcp=43f4a2f9&amp;idc=useast5</t>
  </si>
  <si>
    <t>@SKIMS @ASU ALPHA PHI #skimspartner #alphaphi #asu #aphi</t>
  </si>
  <si>
    <t>Rebrand</t>
  </si>
  <si>
    <t>https://www.tiktok.com/@ssamanthacho</t>
  </si>
  <si>
    <t>Sam Cho</t>
  </si>
  <si>
    <t>ssamanthacho</t>
  </si>
  <si>
    <t>6722996748145280006</t>
  </si>
  <si>
    <r>
      <rPr>
        <u/>
        <sz val="12"/>
        <color rgb="FF1155CC"/>
        <rFont val="Calibri"/>
        <family val="2"/>
        <scheme val="minor"/>
      </rPr>
      <t>https://www.tiktok.com/@christinakirkman/video/7362272456620592430</t>
    </r>
  </si>
  <si>
    <t>CHRISTINA KIRKMAN</t>
  </si>
  <si>
    <t>https://p16-pu-sign-useast8.tiktokcdn-us.com/tos-useast5-p-0068-tx/32196eaf39a54d01843fd89f4ecc426e_1714162658~tplv-tiktokx-origin.image?dr=9636&amp;x-expires=1757631600&amp;x-signature=AjZOYc9h39lAh84iMLv4ICI8%2Blo%3D&amp;t=4d5b0474&amp;ps=13740610&amp;shp=81f88b70&amp;shcp=43f4a2f9&amp;idc=useast5</t>
  </si>
  <si>
    <t>Winston's face has me SCREAMING 😂 @SKIMS #skimspartner</t>
  </si>
  <si>
    <t>Washed up child actor host: @lifesajoke_pod kids: @WINSTON_DA_WEEN</t>
  </si>
  <si>
    <t>https://www.tiktok.com/@christinakirkman</t>
  </si>
  <si>
    <t>christinakirkman</t>
  </si>
  <si>
    <t>6823856004137583622</t>
  </si>
  <si>
    <r>
      <rPr>
        <u/>
        <sz val="12"/>
        <color rgb="FF1155CC"/>
        <rFont val="Calibri"/>
        <family val="2"/>
        <scheme val="minor"/>
      </rPr>
      <t>https://www.tiktok.com/@taylorjoypaul/video/7542263701244562744</t>
    </r>
  </si>
  <si>
    <t>https://p16-common-sign-va.tiktokcdn-us.com/tos-maliva-p-0068/oQPFpgfihoVO0UWkWIA7IOAxL0IqibCFB1Kbgr~tplv-tiktokx-origin.image?dr=9636&amp;x-expires=1757631600&amp;x-signature=Fs%2FFhqBKREVtz8rF0OyjS9ZbC0U%3D&amp;t=4d5b0474&amp;ps=13740610&amp;shp=81f88b70&amp;shcp=43f4a2f9&amp;idc=useast5</t>
  </si>
  <si>
    <t>my absolute favourite sleepwear @SKIMS #skims #skimspartner #fashion</t>
  </si>
  <si>
    <t>🫧🧸💋 fashion + beauty + lifestyle 💌 taylorjoypaul@gmail.com</t>
  </si>
  <si>
    <t>https://www.tiktok.com/@taylorjoypaul</t>
  </si>
  <si>
    <t>TAYLOR PAUL</t>
  </si>
  <si>
    <t>taylorjoypaul</t>
  </si>
  <si>
    <r>
      <rPr>
        <u/>
        <sz val="12"/>
        <color rgb="FF1155CC"/>
        <rFont val="Calibri"/>
        <family val="2"/>
        <scheme val="minor"/>
      </rPr>
      <t>https://www.tiktok.com/@avericamille/video/7546281519476690206</t>
    </r>
  </si>
  <si>
    <t>bummin out</t>
  </si>
  <si>
    <t>https://p16-pu-sign-useast8.tiktokcdn-us.com/tos-useast8-p-0068-tx2/o0AAfqEIEEAoawufqxFV52C9rxcl9EARDCcRAu~tplv-tiktokx-dmt-logom:tos-useast8-i-0068-tx2/oU9RfuECAAxgm5VxECcZxXAEDfAqFEAcPCAocI.image?dr=9634&amp;x-expires=1757631600&amp;x-signature=5LhlGlFAMmVql4e8MKOqqAN38YQ%3D&amp;t=4d5b0474&amp;ps=13740610&amp;shp=81f88b70&amp;shcp=43f4a2f9&amp;idc=useast5</t>
  </si>
  <si>
    <t>I’m stepping into my chic, grown woman aesthetic this fall and @SKIMS is coming with!!!!! #skimspartner #fallfashion #fallaesthetic #curvyfashion</t>
  </si>
  <si>
    <t>6848085774141096965</t>
  </si>
  <si>
    <r>
      <rPr>
        <u/>
        <sz val="12"/>
        <color rgb="FF1155CC"/>
        <rFont val="Calibri"/>
        <family val="2"/>
        <scheme val="minor"/>
      </rPr>
      <t>https://www.tiktok.com/@notbrookemonk/video/7537126143284104478</t>
    </r>
  </si>
  <si>
    <t>NVRXMARV &amp; LXSTURY &amp; justforgetme</t>
  </si>
  <si>
    <t>VOLKSWAGEN FUNK (super slowed)</t>
  </si>
  <si>
    <t>https://p19-pu-sign-useast8.tiktokcdn-us.com/tos-useast8-p-0068-tx2/o0PIICf7u1UQ6gEZBgAGIUuQADiGi0AJTdBqMi~tplv-tiktokx-origin.image?dr=9636&amp;x-expires=1757631600&amp;x-signature=ItZ97GTEs%2B1wopSL8pJf%2F8zTVgw%3D&amp;t=4d5b0474&amp;ps=13740610&amp;shp=81f88b70&amp;shcp=43f4a2f9&amp;idc=useast5</t>
  </si>
  <si>
    <t>No better feeling than a fresh @SKIMS fit #skimspartner</t>
  </si>
  <si>
    <t>This is my Spam account for yapping Brand deals: brooke@friendsinreality.com</t>
  </si>
  <si>
    <t>https://www.tiktok.com/@notbrookemonk</t>
  </si>
  <si>
    <t>Not Brooke Monk</t>
  </si>
  <si>
    <t>notbrookemonk</t>
  </si>
  <si>
    <t>6744842546507891717</t>
  </si>
  <si>
    <r>
      <rPr>
        <u/>
        <sz val="12"/>
        <color rgb="FF1155CC"/>
        <rFont val="Calibri"/>
        <family val="2"/>
        <scheme val="minor"/>
      </rPr>
      <t>https://www.tiktok.com/@allysabreanne/video/7512167858869243178</t>
    </r>
  </si>
  <si>
    <t>Allysa Breanne</t>
  </si>
  <si>
    <t>https://p16-sign.tiktokcdn-us.com/tos-useast5-p-0068-tx/oQAklSXoGIBR4AfoAlLAkCjrREeIQAHEInAeIg~tplv-tiktokx-origin.image?dr=9636&amp;x-expires=1757631600&amp;x-signature=cOuC%2FpQ3NGt0l4RiQ5AGCWYcXqE%3D&amp;t=4d5b0474&amp;ps=13740610&amp;shp=81f88b70&amp;shcp=43f4a2f9&amp;idc=useast5</t>
  </si>
  <si>
    <t>Is this me now?! @SKIMS ULTIMATE HIP #skimspartner</t>
  </si>
  <si>
    <t>cause why tf not ⋆. 𐙚 ˚ hello@thenudefox.com</t>
  </si>
  <si>
    <t>https://www.tiktok.com/@allysabreanne</t>
  </si>
  <si>
    <t>allysabreanne</t>
  </si>
  <si>
    <t>71971947965784064</t>
  </si>
  <si>
    <r>
      <rPr>
        <u/>
        <sz val="12"/>
        <color rgb="FF1155CC"/>
        <rFont val="Calibri"/>
        <family val="2"/>
        <scheme val="minor"/>
      </rPr>
      <t>https://www.tiktok.com/@kirby_j/video/7547753991963299086</t>
    </r>
  </si>
  <si>
    <t>Kirby_J</t>
  </si>
  <si>
    <t>https://p16-pu-sign-useast8.tiktokcdn-us.com/tos-useast5-p-0068-tx/okIAgIGegKrQaWRGlBfiTALScAfGyLAOAYvSeJ~tplv-tiktokx-origin.image?dr=9636&amp;x-expires=1757631600&amp;x-signature=wOqvP%2F%2F5xTOsLfpZ0XS%2FCso%2FD8g%3D&amp;t=4d5b0474&amp;ps=13740610&amp;shp=81f88b70&amp;shcp=43f4a2f9&amp;idc=useast5</t>
  </si>
  <si>
    <t>Build an outfit with me in my @SKIMS 💞 #skimspartner</t>
  </si>
  <si>
    <t>Just a blankie girl telling stories Contact💌: kirby@undercurrent.net</t>
  </si>
  <si>
    <t>https://www.tiktok.com/@kirby_j</t>
  </si>
  <si>
    <t>kirby_j</t>
  </si>
  <si>
    <t>6842777145191941126</t>
  </si>
  <si>
    <r>
      <rPr>
        <u/>
        <sz val="12"/>
        <color rgb="FF1155CC"/>
        <rFont val="Calibri"/>
        <family val="2"/>
        <scheme val="minor"/>
      </rPr>
      <t>https://www.tiktok.com/@estellelebourgeois_/video/7537779840582290719</t>
    </r>
  </si>
  <si>
    <t>Estelle Lebourgeois</t>
  </si>
  <si>
    <t>https://p16-pu-sign-useast8.tiktokcdn-us.com/tos-useast8-p-0068-tx2/oU0b1KATfAEs6lCKABI0KuBmkiiKiCA3AcAIJ7~tplv-tiktokx-dmt-logom:tos-useast8-i-0068-tx2/ocMsADLE7AF5E0qfEAlbHVoukCRemARsEI5CAq.image?dr=9634&amp;x-expires=1757631600&amp;x-signature=IXSL79EmetqW%2BcLKvUSsdqFk1OU%3D&amp;t=4d5b0474&amp;ps=13740610&amp;shp=81f88b70&amp;shcp=43f4a2f9&amp;idc=useast5</t>
  </si>
  <si>
    <t>Comfy &amp; cute is the perfect combo for this upcoming @SKIMS ☁️ #skimspartner</t>
  </si>
  <si>
    <t>⊹₊⟡⋆my digital diary⊹₊⟡⋆ 💌business inquiries: teamestelle@hgmedia.us</t>
  </si>
  <si>
    <t>https://www.tiktok.com/@estellelebourgeois_</t>
  </si>
  <si>
    <t>estellelebourgeois_</t>
  </si>
  <si>
    <t>6648677742348910598</t>
  </si>
  <si>
    <r>
      <rPr>
        <u/>
        <sz val="12"/>
        <color rgb="FF1155CC"/>
        <rFont val="Calibri"/>
        <family val="2"/>
        <scheme val="minor"/>
      </rPr>
      <t>https://www.tiktok.com/@kaelagordon/video/7546673336219192581</t>
    </r>
  </si>
  <si>
    <t>Kaela Gordon</t>
  </si>
  <si>
    <t>https://p16-common-sign-va.tiktokcdn-us.com/tos-maliva-p-0068/o0AfyFtTAuZRTDgwQCVByVAwF8EEuofJQAC2Iv~tplv-tiktokx-dmt-logom:tos-useast2a-v-0068/oEFtuAaouAexBRxAE4yyFRVCJL2fQiJAE4wQID.image?dr=9634&amp;x-expires=1757631600&amp;x-signature=k9VeL4hloNHKeHBDs%2FbM%2BTQEOzI%3D&amp;t=4d5b0474&amp;ps=13740610&amp;shp=81f88b70&amp;shcp=43f4a2f9&amp;idc=useast5</t>
  </si>
  <si>
    <t>Wore these out once and I was already stopped 3 times @SKIMS #skimspartner #capris</t>
  </si>
  <si>
    <t>Fashion, beauty &amp; home ✨Toronto✨ hello@goodvarietystudio.com</t>
  </si>
  <si>
    <t>https://www.tiktok.com/@kaelagordon</t>
  </si>
  <si>
    <t>kaelagordon</t>
  </si>
  <si>
    <r>
      <rPr>
        <u/>
        <sz val="12"/>
        <color rgb="FF1155CC"/>
        <rFont val="Calibri"/>
        <family val="2"/>
        <scheme val="minor"/>
      </rPr>
      <t>https://www.tiktok.com/@paulinareitman/video/7546247328315886862</t>
    </r>
  </si>
  <si>
    <t>https://p16-pu-sign-useast8.tiktokcdn-us.com/tos-useast5-p-0068-tx/ocEI5LRy1EAeHbGQIeqCAkAAIRq6fcYJlCAAjA~tplv-tiktokx-dmt-logom:tos-useast5-i-0068-tx/oIfqAAAjoCD3QrL5CxFEggDAEuARZCAIE7fGSa.image?dr=9634&amp;x-expires=1757631600&amp;x-signature=IyWFvcjEySlt%2BYsMUB%2B1Zq02MK4%3D&amp;t=4d5b0474&amp;ps=13740610&amp;shp=81f88b70&amp;shcp=43f4a2f9&amp;idc=useast5</t>
  </si>
  <si>
    <t>A timeless capsule wardrobe starts with a pair of chic essential pants @skims #skimspartner</t>
  </si>
  <si>
    <t>6635021118879481861</t>
  </si>
  <si>
    <r>
      <rPr>
        <u/>
        <sz val="12"/>
        <color rgb="FF1155CC"/>
        <rFont val="Calibri"/>
        <family val="2"/>
        <scheme val="minor"/>
      </rPr>
      <t>https://www.tiktok.com/@gucciganggabi/video/7545580871810567438</t>
    </r>
  </si>
  <si>
    <t>gucciganggabi</t>
  </si>
  <si>
    <t>https://p19-pu-sign-useast8.tiktokcdn-us.com/tos-useast5-p-0068-tx/oIk4nxAGIEY0hbAD0koEuDfCtQGpSTAfgAJFFR~tplv-tiktokx-dmt-logom:tos-useast5-i-0068-tx/oEcbHR8MkIfjjSRICk2eFbopuEfAlQPAXAAvQA.image?dr=9634&amp;x-expires=1757631600&amp;x-signature=Q7WcKwo3GJmf3pu1WsNuMQJDGXY%3D&amp;t=4d5b0474&amp;ps=13740610&amp;shp=81f88b70&amp;shcp=43f4a2f9&amp;idc=useast5</t>
  </si>
  <si>
    <t>Capris are so back @SKIMS #skimspartner</t>
  </si>
  <si>
    <t>Swaggy ✉️ gabimenardcontact@gmail.com</t>
  </si>
  <si>
    <t>https://www.tiktok.com/@gucciganggabi</t>
  </si>
  <si>
    <r>
      <rPr>
        <u/>
        <sz val="12"/>
        <color rgb="FF1155CC"/>
        <rFont val="Calibri"/>
        <family val="2"/>
        <scheme val="minor"/>
      </rPr>
      <t>https://www.tiktok.com/@leilanigreen/video/7546329311138172191</t>
    </r>
  </si>
  <si>
    <t>leilani</t>
  </si>
  <si>
    <t>https://p19-pu-sign-useast8.tiktokcdn-us.com/tos-useast8-p-0068-tx2/okfzELAQEMDAcq3FfbCXlR5CmWzIjIGVQWSJfP~tplv-tiktokx-origin.image?dr=9636&amp;x-expires=1757631600&amp;x-signature=CUD7coMV%2FXjDTHX6UKZNa8Mg%2FAo%3D&amp;t=4d5b0474&amp;ps=13740610&amp;shp=81f88b70&amp;shcp=43f4a2f9&amp;idc=useast5</t>
  </si>
  <si>
    <t>bronze glam with a @SKIMS bodysuit??? IVE FOUND THE ULTIMATE COMBO #skimspartner</t>
  </si>
  <si>
    <t>I love makeup. business: leilanigreen@portraitmgmt.com MY CREAM LIP STAIN 👇</t>
  </si>
  <si>
    <t>https://www.tiktok.com/@leilanigreen</t>
  </si>
  <si>
    <t>leilanigreen</t>
  </si>
  <si>
    <t>6745835560159478790</t>
  </si>
  <si>
    <r>
      <rPr>
        <u/>
        <sz val="12"/>
        <color rgb="FF1155CC"/>
        <rFont val="Calibri"/>
        <family val="2"/>
        <scheme val="minor"/>
      </rPr>
      <t>https://www.tiktok.com/@amydiala/video/7545565336075078967</t>
    </r>
  </si>
  <si>
    <t>Marco Antonio</t>
  </si>
  <si>
    <t>jazz</t>
  </si>
  <si>
    <t>https://p16-sign.tiktokcdn-us.com/tos-useast5-p-0068-tx/owzoCuXAEjeFZFdAsg3ItgMARvOQDDAkEfOQ1S~tplv-tiktokx-origin.image?dr=9636&amp;x-expires=1757631600&amp;x-signature=%2B%2By1OBUXPuUJtaMW%2FF6vQt9bdLs%3D&amp;t=4d5b0474&amp;ps=13740610&amp;shp=81f88b70&amp;shcp=43f4a2f9&amp;idc=useast5</t>
  </si>
  <si>
    <t>You only need one pair of pants &amp; it’s these! @SKIMS #skimspartner</t>
  </si>
  <si>
    <t>@MISHMISH amydiala@underscoretalent.com</t>
  </si>
  <si>
    <t>https://www.tiktok.com/@amydiala</t>
  </si>
  <si>
    <t>Amy Diala</t>
  </si>
  <si>
    <t>amydiala</t>
  </si>
  <si>
    <r>
      <rPr>
        <u/>
        <sz val="12"/>
        <color rgb="FF1155CC"/>
        <rFont val="Calibri"/>
        <family val="2"/>
        <scheme val="minor"/>
      </rPr>
      <t>https://www.tiktok.com/@aimeejaihall/video/7472428744699940114</t>
    </r>
  </si>
  <si>
    <t>$</t>
  </si>
  <si>
    <t>https://p16-common-sign-sg.tiktokcdn-us.com/tos-alisg-p-0037/okuPZ2ICDQemQziYAwFEUrR1oBf7nTBQE0gDEs~tplv-tiktokx-origin.image?dr=9636&amp;x-expires=1757631600&amp;x-signature=86zElTBihC6xMJHBzfhmnzU%2BINE%3D&amp;t=4d5b0474&amp;ps=13740610&amp;shp=81f88b70&amp;shcp=43f4a2f9&amp;idc=useast5</t>
  </si>
  <si>
    <t>로직 설정 전</t>
  </si>
  <si>
    <t>styling all 5 of my @SKIMS bodysuits! 🫶🏼 #fyp #skims #skimspartner</t>
  </si>
  <si>
    <t>작성자 고유 ID</t>
  </si>
  <si>
    <t>영상 URL</t>
  </si>
  <si>
    <t>업로드 시간</t>
  </si>
  <si>
    <t>음악 아티스트</t>
  </si>
  <si>
    <t>음악 제목</t>
  </si>
  <si>
    <t>영상 길이(초)</t>
  </si>
  <si>
    <t>조회수</t>
  </si>
  <si>
    <t>댓글 수</t>
  </si>
  <si>
    <t>공유 수</t>
  </si>
  <si>
    <t>좋아요 수</t>
  </si>
  <si>
    <t>업로드 영상 수</t>
  </si>
  <si>
    <t>팔로워 수</t>
  </si>
  <si>
    <t>영상 썸네일 URL</t>
  </si>
  <si>
    <t>비용 효율</t>
  </si>
  <si>
    <t>팔로워 품질</t>
  </si>
  <si>
    <t>조회수 비율</t>
  </si>
  <si>
    <t>예상 CPM($)</t>
  </si>
  <si>
    <t>댓글 전환율</t>
  </si>
  <si>
    <t>참여율</t>
  </si>
  <si>
    <t>이메일 추출</t>
  </si>
  <si>
    <t>팔로워 Tier</t>
  </si>
  <si>
    <t>우선순위</t>
  </si>
  <si>
    <t>영상 설명(캡션)</t>
  </si>
  <si>
    <t>프로필 소개글</t>
  </si>
  <si>
    <t>프로필 진입</t>
  </si>
  <si>
    <t>아이디(@계정)</t>
  </si>
  <si>
    <t>작성자 이름</t>
  </si>
  <si>
    <t>번호</t>
  </si>
  <si>
    <t>팔로워 대비</t>
  </si>
  <si>
    <t>1000회 당 노출 비용</t>
  </si>
  <si>
    <t>조회수 대비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</si>
</sst>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h:mm:ss"/>
    <numFmt numFmtId="165" formatCode="0.0"/>
    <numFmt numFmtId="166" formatCode="0.0%"/>
  </numFmts>
  <fonts count="10">
    <font>
      <sz val="10"/>
      <color rgb="FF000000"/>
      <name val="Calibri"/>
      <family val="2"/>
      <scheme val="minor"/>
    </font>
    <font>
      <sz val="12"/>
      <color theme="1"/>
      <name val="Calibri"/>
      <family val="2"/>
      <scheme val="minor"/>
    </font>
    <font>
      <sz val="12"/>
      <color rgb="FF1F2123"/>
      <name val="-apple-system"/>
    </font>
    <font>
      <u/>
      <sz val="12"/>
      <color rgb="FF0000FF"/>
      <name val="-apple-system"/>
    </font>
    <font>
      <u/>
      <sz val="12"/>
      <color rgb="FF1155CC"/>
      <name val="Calibri"/>
      <family val="2"/>
      <scheme val="minor"/>
    </font>
    <font>
      <sz val="12"/>
      <color rgb="FF1F2123"/>
      <name val="Arial"/>
      <family val="2"/>
    </font>
    <font>
      <u/>
      <sz val="12"/>
      <color rgb="FF1F2123"/>
      <name val="-apple-system"/>
    </font>
    <font>
      <u/>
      <sz val="12"/>
      <color rgb="FF0000FF"/>
      <name val="Calibri"/>
      <family val="2"/>
    </font>
    <font>
      <sz val="12"/>
      <color rgb="FFFFFFFF"/>
      <name val="Calibri"/>
      <family val="2"/>
      <scheme val="minor"/>
    </font>
    <font>
      <b/>
      <sz val="12"/>
      <color rgb="FFFFFFFF"/>
      <name val="Calibri"/>
      <family val="2"/>
      <scheme val="minor"/>
    </font>
  </fonts>
  <fills count="6">
    <fill>
      <patternFill patternType="none"/>
    </fill>
    <fill>
      <patternFill patternType="gray125"/>
    </fill>
    <fill>
      <patternFill patternType="solid">
        <fgColor rgb="FFFFFFFF"/>
        <bgColor rgb="FFFFFFFF"/>
      </patternFill>
    </fill>
    <fill>
      <patternFill patternType="solid">
        <fgColor rgb="FFEDEEEF"/>
        <bgColor rgb="FFEDEEEF"/>
      </patternFill>
    </fill>
    <fill>
      <patternFill patternType="solid">
        <fgColor rgb="FF000000"/>
        <bgColor rgb="FF000000"/>
      </patternFill>
    </fill>
    <fill>
      <patternFill patternType="solid">
        <fgColor rgb="FF434343"/>
        <bgColor rgb="FF434343"/>
      </patternFill>
    </fill>
  </fills>
  <borders count="2">
    <border>
      <left/>
      <right/>
      <top/>
      <bottom/>
      <diagonal/>
    </border>
    <border>
      <left style="thin">
        <color rgb="FFE4E5E6"/>
      </left>
      <right style="thin">
        <color rgb="FFE4E5E6"/>
      </right>
      <top style="thin">
        <color rgb="FFE4E5E6"/>
      </top>
      <bottom style="thin">
        <color rgb="FFE4E5E6"/>
      </bottom>
      <diagonal/>
    </border>
  </borders>
  <cellStyleXfs count="1">
    <xf numFmtId="0" fontId="0" fillId="0" borderId="0"/>
  </cellStyleXfs>
  <cellXfs count="28">
    <xf numFmtId="0" fontId="0" fillId="0" borderId="0" xfId="0"/>
    <xf numFmtId="0" fontId="2" fillId="2" borderId="1" xfId="0" applyFont="1" applyFill="1" applyBorder="1"/>
    <xf numFmtId="0" fontId="3" fillId="0" borderId="1" xfId="0" applyFont="1" applyBorder="1"/>
    <xf numFmtId="164" fontId="2" fillId="2" borderId="1" xfId="0" applyNumberFormat="1" applyFont="1" applyFill="1" applyBorder="1"/>
    <xf numFmtId="0" fontId="2" fillId="2" borderId="1" xfId="0" applyFont="1" applyFill="1" applyBorder="1" applyAlignment="1">
      <alignment horizontal="right"/>
    </xf>
    <xf numFmtId="0" fontId="1" fillId="0" borderId="0" xfId="0" applyFont="1"/>
    <xf numFmtId="165" fontId="2" fillId="2" borderId="1" xfId="0" applyNumberFormat="1" applyFont="1" applyFill="1" applyBorder="1"/>
    <xf numFmtId="9" fontId="2" fillId="2" borderId="1" xfId="0" applyNumberFormat="1" applyFont="1" applyFill="1" applyBorder="1"/>
    <xf numFmtId="1" fontId="2" fillId="2" borderId="1" xfId="0" applyNumberFormat="1" applyFont="1" applyFill="1" applyBorder="1"/>
    <xf numFmtId="10" fontId="2" fillId="2" borderId="1" xfId="0" applyNumberFormat="1" applyFont="1" applyFill="1" applyBorder="1"/>
    <xf numFmtId="166" fontId="2" fillId="2" borderId="1" xfId="0" applyNumberFormat="1" applyFont="1" applyFill="1" applyBorder="1"/>
    <xf numFmtId="164" fontId="2" fillId="3" borderId="1" xfId="0" applyNumberFormat="1" applyFont="1" applyFill="1" applyBorder="1"/>
    <xf numFmtId="0" fontId="2" fillId="3" borderId="1" xfId="0" applyFont="1" applyFill="1" applyBorder="1"/>
    <xf numFmtId="0" fontId="2" fillId="3" borderId="1" xfId="0" applyFont="1" applyFill="1" applyBorder="1" applyAlignment="1">
      <alignment horizontal="right"/>
    </xf>
    <xf numFmtId="0" fontId="5" fillId="2" borderId="1" xfId="0" applyFont="1" applyFill="1" applyBorder="1"/>
    <xf numFmtId="0" fontId="6" fillId="2" borderId="1" xfId="0" applyFont="1" applyFill="1" applyBorder="1"/>
    <xf numFmtId="0" fontId="5" fillId="2" borderId="1" xfId="0" applyFont="1" applyFill="1" applyBorder="1" applyAlignment="1">
      <alignment horizontal="right"/>
    </xf>
    <xf numFmtId="0" fontId="7" fillId="0" borderId="0" xfId="0" applyFont="1"/>
    <xf numFmtId="0" fontId="8" fillId="4" borderId="0" xfId="0" applyFont="1" applyFill="1"/>
    <xf numFmtId="165" fontId="8" fillId="5" borderId="0" xfId="0" applyNumberFormat="1" applyFont="1" applyFill="1"/>
    <xf numFmtId="9" fontId="9" fillId="5" borderId="0" xfId="0" applyNumberFormat="1" applyFont="1" applyFill="1"/>
    <xf numFmtId="1" fontId="8" fillId="5" borderId="0" xfId="0" applyNumberFormat="1" applyFont="1" applyFill="1"/>
    <xf numFmtId="0" fontId="8" fillId="5" borderId="0" xfId="0" applyFont="1" applyFill="1"/>
    <xf numFmtId="166" fontId="8" fillId="5" borderId="0" xfId="0" applyNumberFormat="1" applyFont="1" applyFill="1"/>
    <xf numFmtId="165" fontId="9" fillId="5" borderId="0" xfId="0" applyNumberFormat="1" applyFont="1" applyFill="1"/>
    <xf numFmtId="0" fontId="9" fillId="5" borderId="0" xfId="0" applyFont="1" applyFill="1"/>
    <xf numFmtId="1" fontId="9" fillId="5" borderId="0" xfId="0" applyNumberFormat="1" applyFont="1" applyFill="1"/>
    <xf numFmtId="166" fontId="8" fillId="4"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tiktok.com/@sarahlouisab/video/7354306923577101601" TargetMode="External"/><Relationship Id="rId21" Type="http://schemas.openxmlformats.org/officeDocument/2006/relationships/hyperlink" Target="https://www.tiktok.com/@jasmine.alishaa/video/7532556621281643781" TargetMode="External"/><Relationship Id="rId63" Type="http://schemas.openxmlformats.org/officeDocument/2006/relationships/hyperlink" Target="https://www.tiktok.com/@sophadophaa/video/7523374360430710034" TargetMode="External"/><Relationship Id="rId159" Type="http://schemas.openxmlformats.org/officeDocument/2006/relationships/hyperlink" Target="https://www.tiktok.com/@lemonistacoco/video/7532943858645191966" TargetMode="External"/><Relationship Id="rId170" Type="http://schemas.openxmlformats.org/officeDocument/2006/relationships/hyperlink" Target="https://www.tiktok.com/@julia_laurina/video/7463807950700711190" TargetMode="External"/><Relationship Id="rId226" Type="http://schemas.openxmlformats.org/officeDocument/2006/relationships/hyperlink" Target="https://www.tiktok.com/@avenir.clothing8/video/7491780241342483734" TargetMode="External"/><Relationship Id="rId268" Type="http://schemas.openxmlformats.org/officeDocument/2006/relationships/hyperlink" Target="https://www.tiktok.com/@samijohnsonvlogs/video/7301711642419645739" TargetMode="External"/><Relationship Id="rId11" Type="http://schemas.openxmlformats.org/officeDocument/2006/relationships/hyperlink" Target="https://www.tiktok.com/@notbrookemonk/video/7537126143284104478" TargetMode="External"/><Relationship Id="rId32" Type="http://schemas.openxmlformats.org/officeDocument/2006/relationships/hyperlink" Target="https://www.tiktok.com/@coconutcathy/video/7470254613363576095" TargetMode="External"/><Relationship Id="rId53" Type="http://schemas.openxmlformats.org/officeDocument/2006/relationships/hyperlink" Target="https://www.tiktok.com/@st114k/video/7543979945601666326" TargetMode="External"/><Relationship Id="rId74" Type="http://schemas.openxmlformats.org/officeDocument/2006/relationships/hyperlink" Target="https://www.tiktok.com/@mananamariee/video/7450290960359017770" TargetMode="External"/><Relationship Id="rId128" Type="http://schemas.openxmlformats.org/officeDocument/2006/relationships/hyperlink" Target="https://www.tiktok.com/@lucia.saanchezz/video/7483997891669789974" TargetMode="External"/><Relationship Id="rId149" Type="http://schemas.openxmlformats.org/officeDocument/2006/relationships/hyperlink" Target="https://www.tiktok.com/@lilyy_tolentino/video/7358205904640167199" TargetMode="External"/><Relationship Id="rId5" Type="http://schemas.openxmlformats.org/officeDocument/2006/relationships/hyperlink" Target="https://www.tiktok.com/@gucciganggabi/video/7545580871810567438" TargetMode="External"/><Relationship Id="rId95" Type="http://schemas.openxmlformats.org/officeDocument/2006/relationships/hyperlink" Target="https://www.tiktok.com/@chloeaalcindor/video/7535176244069960974" TargetMode="External"/><Relationship Id="rId160" Type="http://schemas.openxmlformats.org/officeDocument/2006/relationships/hyperlink" Target="https://www.tiktok.com/@xxasiaboonexx/video/7548193431542140190" TargetMode="External"/><Relationship Id="rId181" Type="http://schemas.openxmlformats.org/officeDocument/2006/relationships/hyperlink" Target="https://www.tiktok.com/@ashl3ybnks/video/7531808138073246998" TargetMode="External"/><Relationship Id="rId216" Type="http://schemas.openxmlformats.org/officeDocument/2006/relationships/hyperlink" Target="https://www.tiktok.com/@hunililyy/video/7284743903217978670" TargetMode="External"/><Relationship Id="rId237" Type="http://schemas.openxmlformats.org/officeDocument/2006/relationships/hyperlink" Target="https://www.tiktok.com/@usfkappadelta/video/7542864797285584159" TargetMode="External"/><Relationship Id="rId258" Type="http://schemas.openxmlformats.org/officeDocument/2006/relationships/hyperlink" Target="https://www.tiktok.com/@chasiemay/video/7241767253966916906" TargetMode="External"/><Relationship Id="rId22" Type="http://schemas.openxmlformats.org/officeDocument/2006/relationships/hyperlink" Target="https://www.tiktok.com/@carlinaerikinn/video/7537698736042954016" TargetMode="External"/><Relationship Id="rId43" Type="http://schemas.openxmlformats.org/officeDocument/2006/relationships/hyperlink" Target="https://www.tiktok.com/@taxicabbbbbbb/video/7410494623115726111" TargetMode="External"/><Relationship Id="rId64" Type="http://schemas.openxmlformats.org/officeDocument/2006/relationships/hyperlink" Target="https://www.tiktok.com/@maliyatrevinoo/video/7535136031029366046" TargetMode="External"/><Relationship Id="rId118" Type="http://schemas.openxmlformats.org/officeDocument/2006/relationships/hyperlink" Target="https://www.tiktok.com/@ambsrowan/video/7531675481746312470" TargetMode="External"/><Relationship Id="rId139" Type="http://schemas.openxmlformats.org/officeDocument/2006/relationships/hyperlink" Target="https://www.tiktok.com/@clairegrossman/video/7267210072080600362" TargetMode="External"/><Relationship Id="rId85" Type="http://schemas.openxmlformats.org/officeDocument/2006/relationships/hyperlink" Target="https://www.tiktok.com/@sadieemckennaa/video/7378230860904008965" TargetMode="External"/><Relationship Id="rId150" Type="http://schemas.openxmlformats.org/officeDocument/2006/relationships/hyperlink" Target="https://www.tiktok.com/@iamsydneythomas/video/7383118485867597099" TargetMode="External"/><Relationship Id="rId171" Type="http://schemas.openxmlformats.org/officeDocument/2006/relationships/hyperlink" Target="https://www.tiktok.com/@ninahouston/video/7213397755614547206" TargetMode="External"/><Relationship Id="rId192" Type="http://schemas.openxmlformats.org/officeDocument/2006/relationships/hyperlink" Target="https://www.tiktok.com/@mikaylanogueira/video/7535238237212757262" TargetMode="External"/><Relationship Id="rId206" Type="http://schemas.openxmlformats.org/officeDocument/2006/relationships/hyperlink" Target="https://www.tiktok.com/@maia_andrews/video/7546977227511041302" TargetMode="External"/><Relationship Id="rId227" Type="http://schemas.openxmlformats.org/officeDocument/2006/relationships/hyperlink" Target="https://www.tiktok.com/@nicolemc67/video/7399660364889181483" TargetMode="External"/><Relationship Id="rId248" Type="http://schemas.openxmlformats.org/officeDocument/2006/relationships/hyperlink" Target="https://www.tiktok.com/@charlie__gl/video/7291286482357144875" TargetMode="External"/><Relationship Id="rId269" Type="http://schemas.openxmlformats.org/officeDocument/2006/relationships/hyperlink" Target="https://www.tiktok.com/@ferbandaa12/video/7548141403096812808" TargetMode="External"/><Relationship Id="rId12" Type="http://schemas.openxmlformats.org/officeDocument/2006/relationships/hyperlink" Target="https://www.tiktok.com/@avericamille/video/7546281519476690206" TargetMode="External"/><Relationship Id="rId33" Type="http://schemas.openxmlformats.org/officeDocument/2006/relationships/hyperlink" Target="https://www.tiktok.com/@katymcbride_/video/7416465612081204522" TargetMode="External"/><Relationship Id="rId108" Type="http://schemas.openxmlformats.org/officeDocument/2006/relationships/hyperlink" Target="https://www.tiktok.com/@asu.alphaphi/video/7538896348003732767" TargetMode="External"/><Relationship Id="rId129" Type="http://schemas.openxmlformats.org/officeDocument/2006/relationships/hyperlink" Target="https://www.tiktok.com/@styledbyreem/video/7413158530607320351" TargetMode="External"/><Relationship Id="rId54" Type="http://schemas.openxmlformats.org/officeDocument/2006/relationships/hyperlink" Target="https://www.tiktok.com/@briannafornes_/video/7331067911278202158" TargetMode="External"/><Relationship Id="rId75" Type="http://schemas.openxmlformats.org/officeDocument/2006/relationships/hyperlink" Target="https://www.tiktok.com/@_kais.spam_/video/7533244620688428318" TargetMode="External"/><Relationship Id="rId96" Type="http://schemas.openxmlformats.org/officeDocument/2006/relationships/hyperlink" Target="https://www.tiktok.com/@meechie.1/video/7347757091559329066" TargetMode="External"/><Relationship Id="rId140" Type="http://schemas.openxmlformats.org/officeDocument/2006/relationships/hyperlink" Target="https://www.tiktok.com/@justinescameraroll/video/7292447426986773803" TargetMode="External"/><Relationship Id="rId161" Type="http://schemas.openxmlformats.org/officeDocument/2006/relationships/hyperlink" Target="https://www.tiktok.com/@barefacedmedia/video/7532818463279172886" TargetMode="External"/><Relationship Id="rId182" Type="http://schemas.openxmlformats.org/officeDocument/2006/relationships/hyperlink" Target="https://www.tiktok.com/@taylortiminskas/video/7441370663165758751" TargetMode="External"/><Relationship Id="rId217" Type="http://schemas.openxmlformats.org/officeDocument/2006/relationships/hyperlink" Target="https://www.tiktok.com/@ivyangst/video/7511494357854260522" TargetMode="External"/><Relationship Id="rId6" Type="http://schemas.openxmlformats.org/officeDocument/2006/relationships/hyperlink" Target="https://www.tiktok.com/@paulinareitman/video/7546247328315886862" TargetMode="External"/><Relationship Id="rId238" Type="http://schemas.openxmlformats.org/officeDocument/2006/relationships/hyperlink" Target="https://www.tiktok.com/@gh0bbs/video/7525796504615832854" TargetMode="External"/><Relationship Id="rId259" Type="http://schemas.openxmlformats.org/officeDocument/2006/relationships/hyperlink" Target="https://www.tiktok.com/@kvtondomingvez/video/7439797250831945006" TargetMode="External"/><Relationship Id="rId23" Type="http://schemas.openxmlformats.org/officeDocument/2006/relationships/hyperlink" Target="https://www.tiktok.com/@selahmolden/video/7537813393269378334" TargetMode="External"/><Relationship Id="rId119" Type="http://schemas.openxmlformats.org/officeDocument/2006/relationships/hyperlink" Target="https://www.tiktok.com/@rilezzz_/video/7415350168385490207" TargetMode="External"/><Relationship Id="rId270" Type="http://schemas.openxmlformats.org/officeDocument/2006/relationships/hyperlink" Target="https://www.tiktok.com/@valentinaread01/video/7533737313793248526" TargetMode="External"/><Relationship Id="rId44" Type="http://schemas.openxmlformats.org/officeDocument/2006/relationships/hyperlink" Target="https://www.tiktok.com/@beingcrystalnicolee/video/7296585276204256555" TargetMode="External"/><Relationship Id="rId65" Type="http://schemas.openxmlformats.org/officeDocument/2006/relationships/hyperlink" Target="https://www.tiktok.com/@jillian.bruno/video/7535595559332089119" TargetMode="External"/><Relationship Id="rId86" Type="http://schemas.openxmlformats.org/officeDocument/2006/relationships/hyperlink" Target="https://www.tiktok.com/@vee_nailedit/video/7443629192085884191" TargetMode="External"/><Relationship Id="rId130" Type="http://schemas.openxmlformats.org/officeDocument/2006/relationships/hyperlink" Target="https://www.tiktok.com/@devlassiter/video/7397093628985740575" TargetMode="External"/><Relationship Id="rId151" Type="http://schemas.openxmlformats.org/officeDocument/2006/relationships/hyperlink" Target="https://www.tiktok.com/@inspobytaylachee/video/7536025537030966558" TargetMode="External"/><Relationship Id="rId172" Type="http://schemas.openxmlformats.org/officeDocument/2006/relationships/hyperlink" Target="http://fausta.cm/" TargetMode="External"/><Relationship Id="rId193" Type="http://schemas.openxmlformats.org/officeDocument/2006/relationships/hyperlink" Target="https://www.tiktok.com/@.hg.vlogs/video/7547835634157702413" TargetMode="External"/><Relationship Id="rId207" Type="http://schemas.openxmlformats.org/officeDocument/2006/relationships/hyperlink" Target="https://www.tiktok.com/@cocosamone/video/7509163664042298670" TargetMode="External"/><Relationship Id="rId228" Type="http://schemas.openxmlformats.org/officeDocument/2006/relationships/hyperlink" Target="https://www.tiktok.com/@chana.kesselaar/video/7463461081252465942" TargetMode="External"/><Relationship Id="rId249" Type="http://schemas.openxmlformats.org/officeDocument/2006/relationships/hyperlink" Target="https://www.tiktok.com/@lynda__beauty/video/7533358417675668758" TargetMode="External"/><Relationship Id="rId13" Type="http://schemas.openxmlformats.org/officeDocument/2006/relationships/hyperlink" Target="https://www.tiktok.com/@taylorjoypaul/video/7542263701244562744" TargetMode="External"/><Relationship Id="rId109" Type="http://schemas.openxmlformats.org/officeDocument/2006/relationships/hyperlink" Target="https://www.tiktok.com/@kateobyrne/video/7514376088949198102" TargetMode="External"/><Relationship Id="rId260" Type="http://schemas.openxmlformats.org/officeDocument/2006/relationships/hyperlink" Target="https://linktr.ee/brookeamandaa" TargetMode="External"/><Relationship Id="rId34" Type="http://schemas.openxmlformats.org/officeDocument/2006/relationships/hyperlink" Target="https://www.tiktok.com/@arianavitale/video/7410808376164240671" TargetMode="External"/><Relationship Id="rId55" Type="http://schemas.openxmlformats.org/officeDocument/2006/relationships/hyperlink" Target="https://www.tiktok.com/@sydneysilverman_/video/7544083904504827150" TargetMode="External"/><Relationship Id="rId76" Type="http://schemas.openxmlformats.org/officeDocument/2006/relationships/hyperlink" Target="https://www.tiktok.com/@meemshou/video/7449925527000960286" TargetMode="External"/><Relationship Id="rId97" Type="http://schemas.openxmlformats.org/officeDocument/2006/relationships/hyperlink" Target="https://www.tiktok.com/@skims/video/7504429782801763630" TargetMode="External"/><Relationship Id="rId120" Type="http://schemas.openxmlformats.org/officeDocument/2006/relationships/hyperlink" Target="https://www.tiktok.com/@belikemonica/video/7378947188249906478" TargetMode="External"/><Relationship Id="rId141" Type="http://schemas.openxmlformats.org/officeDocument/2006/relationships/hyperlink" Target="https://www.tiktok.com/@michaelacjacobs/video/7546318980458253582" TargetMode="External"/><Relationship Id="rId7" Type="http://schemas.openxmlformats.org/officeDocument/2006/relationships/hyperlink" Target="https://www.tiktok.com/@kaelagordon/video/7546673336219192581" TargetMode="External"/><Relationship Id="rId162" Type="http://schemas.openxmlformats.org/officeDocument/2006/relationships/hyperlink" Target="https://www.tiktok.com/@dionysian.girl/video/7282794828553801006" TargetMode="External"/><Relationship Id="rId183" Type="http://schemas.openxmlformats.org/officeDocument/2006/relationships/hyperlink" Target="https://www.tiktok.com/@juliamielnicka_/video/7480466266386353430" TargetMode="External"/><Relationship Id="rId218" Type="http://schemas.openxmlformats.org/officeDocument/2006/relationships/hyperlink" Target="https://www.tiktok.com/@aimeejaihall/video/7395631641093229841" TargetMode="External"/><Relationship Id="rId239" Type="http://schemas.openxmlformats.org/officeDocument/2006/relationships/hyperlink" Target="https://www.tiktok.com/@southerncaylabrii/video/7419300088800873771" TargetMode="External"/><Relationship Id="rId250" Type="http://schemas.openxmlformats.org/officeDocument/2006/relationships/hyperlink" Target="https://www.tiktok.com/@inesnobree/video/7277264018304175393" TargetMode="External"/><Relationship Id="rId24" Type="http://schemas.openxmlformats.org/officeDocument/2006/relationships/hyperlink" Target="https://www.tiktok.com/@kendallmaynard25/video/7538899743372594462" TargetMode="External"/><Relationship Id="rId45" Type="http://schemas.openxmlformats.org/officeDocument/2006/relationships/hyperlink" Target="https://www.tiktok.com/@chelsealstone/video/7285444708225092906" TargetMode="External"/><Relationship Id="rId66" Type="http://schemas.openxmlformats.org/officeDocument/2006/relationships/hyperlink" Target="https://www.tiktok.com/@de1ksha/video/7490033385713175850" TargetMode="External"/><Relationship Id="rId87" Type="http://schemas.openxmlformats.org/officeDocument/2006/relationships/hyperlink" Target="https://www.tiktok.com/@kyannamya_/video/7533254265184275726" TargetMode="External"/><Relationship Id="rId110" Type="http://schemas.openxmlformats.org/officeDocument/2006/relationships/hyperlink" Target="https://www.tiktok.com/@nohelyjasmine_/video/7379051646510304543" TargetMode="External"/><Relationship Id="rId131" Type="http://schemas.openxmlformats.org/officeDocument/2006/relationships/hyperlink" Target="https://www.tiktok.com/@tiannasaunderss/video/7457261757195668768" TargetMode="External"/><Relationship Id="rId152" Type="http://schemas.openxmlformats.org/officeDocument/2006/relationships/hyperlink" Target="https://www.tiktok.com/@lifeewralphy/video/7488000564983385390" TargetMode="External"/><Relationship Id="rId173" Type="http://schemas.openxmlformats.org/officeDocument/2006/relationships/hyperlink" Target="https://www.tiktok.com/@fausta.cm/video/7484283412988185878" TargetMode="External"/><Relationship Id="rId194" Type="http://schemas.openxmlformats.org/officeDocument/2006/relationships/hyperlink" Target="https://www.tiktok.com/@kashxdoutdes/video/7519534765049908493" TargetMode="External"/><Relationship Id="rId208" Type="http://schemas.openxmlformats.org/officeDocument/2006/relationships/hyperlink" Target="https://www.tiktok.com/@tommycratic/video/7527285867413605646" TargetMode="External"/><Relationship Id="rId229" Type="http://schemas.openxmlformats.org/officeDocument/2006/relationships/hyperlink" Target="https://www.tiktok.com/@mbymelanightt/video/7494341150539533590" TargetMode="External"/><Relationship Id="rId240" Type="http://schemas.openxmlformats.org/officeDocument/2006/relationships/hyperlink" Target="https://www.tiktok.com/@alias_cay/video/7494693409391676694" TargetMode="External"/><Relationship Id="rId261" Type="http://schemas.openxmlformats.org/officeDocument/2006/relationships/hyperlink" Target="https://www.tiktok.com/@brookeeamanda/video/7486304805795826990" TargetMode="External"/><Relationship Id="rId14" Type="http://schemas.openxmlformats.org/officeDocument/2006/relationships/hyperlink" Target="https://www.tiktok.com/@christinakirkman/video/7362272456620592430" TargetMode="External"/><Relationship Id="rId35" Type="http://schemas.openxmlformats.org/officeDocument/2006/relationships/hyperlink" Target="https://www.tiktok.com/@balanced_brittany/video/7357043397716151594" TargetMode="External"/><Relationship Id="rId56" Type="http://schemas.openxmlformats.org/officeDocument/2006/relationships/hyperlink" Target="https://www.tiktok.com/@raye.hazel/video/7493639653451484459" TargetMode="External"/><Relationship Id="rId77" Type="http://schemas.openxmlformats.org/officeDocument/2006/relationships/hyperlink" Target="https://www.tiktok.com/@iamsamiira_/video/7498782269193162015" TargetMode="External"/><Relationship Id="rId100" Type="http://schemas.openxmlformats.org/officeDocument/2006/relationships/hyperlink" Target="https://www.tiktok.com/@ally_wong/video/7546772822677343519" TargetMode="External"/><Relationship Id="rId8" Type="http://schemas.openxmlformats.org/officeDocument/2006/relationships/hyperlink" Target="https://www.tiktok.com/@estellelebourgeois_/video/7537779840582290719" TargetMode="External"/><Relationship Id="rId98" Type="http://schemas.openxmlformats.org/officeDocument/2006/relationships/hyperlink" Target="https://www.tiktok.com/@datingwithcourt/video/7482490830175898911" TargetMode="External"/><Relationship Id="rId121" Type="http://schemas.openxmlformats.org/officeDocument/2006/relationships/hyperlink" Target="https://www.tiktok.com/@miikall_/video/7291336186264554785" TargetMode="External"/><Relationship Id="rId142" Type="http://schemas.openxmlformats.org/officeDocument/2006/relationships/hyperlink" Target="https://www.tiktok.com/@frankiebleau/video/7445045833231420718" TargetMode="External"/><Relationship Id="rId163" Type="http://schemas.openxmlformats.org/officeDocument/2006/relationships/hyperlink" Target="https://www.tiktok.com/@_kais.spam_/video/7537401148555136286" TargetMode="External"/><Relationship Id="rId184" Type="http://schemas.openxmlformats.org/officeDocument/2006/relationships/hyperlink" Target="https://www.tiktok.com/@kyannamya_/video/7540690509094784269" TargetMode="External"/><Relationship Id="rId219" Type="http://schemas.openxmlformats.org/officeDocument/2006/relationships/hyperlink" Target="https://www.tiktok.com/@aroomikim/video/7438424655792278840" TargetMode="External"/><Relationship Id="rId230" Type="http://schemas.openxmlformats.org/officeDocument/2006/relationships/hyperlink" Target="https://www.tiktok.com/@lexthelibraa/video/7375309454683688235" TargetMode="External"/><Relationship Id="rId251" Type="http://schemas.openxmlformats.org/officeDocument/2006/relationships/hyperlink" Target="https://www.tiktok.com/@arlyreyesss/video/7538575538198236430" TargetMode="External"/><Relationship Id="rId25" Type="http://schemas.openxmlformats.org/officeDocument/2006/relationships/hyperlink" Target="https://www.tiktok.com/@its_leah0912/video/7526647176622083342" TargetMode="External"/><Relationship Id="rId46" Type="http://schemas.openxmlformats.org/officeDocument/2006/relationships/hyperlink" Target="https://www.tiktok.com/@nicolechikwe/video/7340256587279338757" TargetMode="External"/><Relationship Id="rId67" Type="http://schemas.openxmlformats.org/officeDocument/2006/relationships/hyperlink" Target="https://www.tiktok.com/@kristinaquintana/video/7393009218623753515" TargetMode="External"/><Relationship Id="rId88" Type="http://schemas.openxmlformats.org/officeDocument/2006/relationships/hyperlink" Target="https://www.tiktok.com/@throughbris.lens/video/7426418277875846405" TargetMode="External"/><Relationship Id="rId111" Type="http://schemas.openxmlformats.org/officeDocument/2006/relationships/hyperlink" Target="https://www.tiktok.com/@galennsek/video/7268331804279622958" TargetMode="External"/><Relationship Id="rId132" Type="http://schemas.openxmlformats.org/officeDocument/2006/relationships/hyperlink" Target="https://www.tiktok.com/@nickimariex/video/7320344268529356075" TargetMode="External"/><Relationship Id="rId153" Type="http://schemas.openxmlformats.org/officeDocument/2006/relationships/hyperlink" Target="https://www.tiktok.com/@kylaleelee/video/7546597145021910327" TargetMode="External"/><Relationship Id="rId174" Type="http://schemas.openxmlformats.org/officeDocument/2006/relationships/hyperlink" Target="https://www.tiktok.com/@blureignn/video/7224578096748350746" TargetMode="External"/><Relationship Id="rId195" Type="http://schemas.openxmlformats.org/officeDocument/2006/relationships/hyperlink" Target="https://www.tiktok.com/@maimelconian/video/7545955069024275767" TargetMode="External"/><Relationship Id="rId209" Type="http://schemas.openxmlformats.org/officeDocument/2006/relationships/hyperlink" Target="https://www.tiktok.com/@melrobbins/video/7544030855983893815" TargetMode="External"/><Relationship Id="rId220" Type="http://schemas.openxmlformats.org/officeDocument/2006/relationships/hyperlink" Target="https://www.tiktok.com/@veronika_femenique/video/7535109157670685959" TargetMode="External"/><Relationship Id="rId241" Type="http://schemas.openxmlformats.org/officeDocument/2006/relationships/hyperlink" Target="https://www.tiktok.com/@complex/video/7447912171540876574" TargetMode="External"/><Relationship Id="rId15" Type="http://schemas.openxmlformats.org/officeDocument/2006/relationships/hyperlink" Target="https://www.tiktok.com/@ssamanthacho/video/7538834735657717005" TargetMode="External"/><Relationship Id="rId36" Type="http://schemas.openxmlformats.org/officeDocument/2006/relationships/hyperlink" Target="https://www.tiktok.com/@byfibi/video/7486503114888072470" TargetMode="External"/><Relationship Id="rId57" Type="http://schemas.openxmlformats.org/officeDocument/2006/relationships/hyperlink" Target="https://www.tiktok.com/@stellacrli/video/7429711110883790112" TargetMode="External"/><Relationship Id="rId262" Type="http://schemas.openxmlformats.org/officeDocument/2006/relationships/hyperlink" Target="https://www.tiktok.com/@rickaya/video/7517828513475333407" TargetMode="External"/><Relationship Id="rId78" Type="http://schemas.openxmlformats.org/officeDocument/2006/relationships/hyperlink" Target="https://www.tiktok.com/@kelssopretty/video/7475120375777725742" TargetMode="External"/><Relationship Id="rId99" Type="http://schemas.openxmlformats.org/officeDocument/2006/relationships/hyperlink" Target="https://www.tiktok.com/@babybellz619/video/7203072595527257390" TargetMode="External"/><Relationship Id="rId101" Type="http://schemas.openxmlformats.org/officeDocument/2006/relationships/hyperlink" Target="https://www.tiktok.com/@e111esuh/video/7481139699222842667" TargetMode="External"/><Relationship Id="rId122" Type="http://schemas.openxmlformats.org/officeDocument/2006/relationships/hyperlink" Target="https://www.tiktok.com/@alexlee.zia/video/7527515820843339039" TargetMode="External"/><Relationship Id="rId143" Type="http://schemas.openxmlformats.org/officeDocument/2006/relationships/hyperlink" Target="https://www.tiktok.com/@maryelee24/video/7447578546605739295" TargetMode="External"/><Relationship Id="rId164" Type="http://schemas.openxmlformats.org/officeDocument/2006/relationships/hyperlink" Target="https://www.tiktok.com/@thatgirljosieee/video/7532696954346736901" TargetMode="External"/><Relationship Id="rId185" Type="http://schemas.openxmlformats.org/officeDocument/2006/relationships/hyperlink" Target="http://foxycoupons.com/" TargetMode="External"/><Relationship Id="rId9" Type="http://schemas.openxmlformats.org/officeDocument/2006/relationships/hyperlink" Target="https://www.tiktok.com/@kirby_j/video/7547753991963299086" TargetMode="External"/><Relationship Id="rId210" Type="http://schemas.openxmlformats.org/officeDocument/2006/relationships/hyperlink" Target="https://www.tiktok.com/@elizabrowne/video/7452130061169282336" TargetMode="External"/><Relationship Id="rId26" Type="http://schemas.openxmlformats.org/officeDocument/2006/relationships/hyperlink" Target="https://www.tiktok.com/@usfkappadelta/video/7542666165332577567" TargetMode="External"/><Relationship Id="rId231" Type="http://schemas.openxmlformats.org/officeDocument/2006/relationships/hyperlink" Target="https://www.tiktok.com/@snipestwins/video/7308919087269285162" TargetMode="External"/><Relationship Id="rId252" Type="http://schemas.openxmlformats.org/officeDocument/2006/relationships/hyperlink" Target="https://www.tiktok.com/@skims/video/7465556884578241834" TargetMode="External"/><Relationship Id="rId47" Type="http://schemas.openxmlformats.org/officeDocument/2006/relationships/hyperlink" Target="https://www.tiktok.com/@krissymeridieth/video/7345118887521897771" TargetMode="External"/><Relationship Id="rId68" Type="http://schemas.openxmlformats.org/officeDocument/2006/relationships/hyperlink" Target="https://www.tiktok.com/@postmalone/video/7540332595851103502" TargetMode="External"/><Relationship Id="rId89" Type="http://schemas.openxmlformats.org/officeDocument/2006/relationships/hyperlink" Target="https://www.tiktok.com/@maggylove_/video/7464651113464155425" TargetMode="External"/><Relationship Id="rId112" Type="http://schemas.openxmlformats.org/officeDocument/2006/relationships/hyperlink" Target="https://www.tiktok.com/@aimeejaihall/video/7411661845150453010" TargetMode="External"/><Relationship Id="rId133" Type="http://schemas.openxmlformats.org/officeDocument/2006/relationships/hyperlink" Target="https://www.tiktok.com/@tennesseethresh/video/7330361124044492064" TargetMode="External"/><Relationship Id="rId154" Type="http://schemas.openxmlformats.org/officeDocument/2006/relationships/hyperlink" Target="https://www.tiktok.com/@giselleerico/video/7546349916583431454" TargetMode="External"/><Relationship Id="rId175" Type="http://schemas.openxmlformats.org/officeDocument/2006/relationships/hyperlink" Target="https://www.tiktok.com/@mary_truong26/video/7412015481047207214" TargetMode="External"/><Relationship Id="rId196" Type="http://schemas.openxmlformats.org/officeDocument/2006/relationships/hyperlink" Target="https://www.tiktok.com/@melaniemhasson/video/7543030039655353613" TargetMode="External"/><Relationship Id="rId200" Type="http://schemas.openxmlformats.org/officeDocument/2006/relationships/hyperlink" Target="https://www.tiktok.com/@dijonaicarrington/video/7409344815579532587" TargetMode="External"/><Relationship Id="rId16" Type="http://schemas.openxmlformats.org/officeDocument/2006/relationships/hyperlink" Target="https://www.tiktok.com/@kaitlynedejer/video/7546318552538697015" TargetMode="External"/><Relationship Id="rId221" Type="http://schemas.openxmlformats.org/officeDocument/2006/relationships/hyperlink" Target="https://www.tiktok.com/@avericamille/video/7282217958787632415" TargetMode="External"/><Relationship Id="rId242" Type="http://schemas.openxmlformats.org/officeDocument/2006/relationships/hyperlink" Target="https://www.tiktok.com/@starrylionstore/video/7494184870869011743" TargetMode="External"/><Relationship Id="rId263" Type="http://schemas.openxmlformats.org/officeDocument/2006/relationships/hyperlink" Target="https://www.tiktok.com/@ashleytalbottt/video/7517139524019965197" TargetMode="External"/><Relationship Id="rId37" Type="http://schemas.openxmlformats.org/officeDocument/2006/relationships/hyperlink" Target="https://www.tiktok.com/@tanyabellla/video/7327710760577174830" TargetMode="External"/><Relationship Id="rId58" Type="http://schemas.openxmlformats.org/officeDocument/2006/relationships/hyperlink" Target="https://www.tiktok.com/@ramrandomm/video/7497005765287415086" TargetMode="External"/><Relationship Id="rId79" Type="http://schemas.openxmlformats.org/officeDocument/2006/relationships/hyperlink" Target="https://www.tiktok.com/@jacimariesmith/video/7294057303119056158" TargetMode="External"/><Relationship Id="rId102" Type="http://schemas.openxmlformats.org/officeDocument/2006/relationships/hyperlink" Target="https://www.tiktok.com/@meganhomme/video/7359240315028426026" TargetMode="External"/><Relationship Id="rId123" Type="http://schemas.openxmlformats.org/officeDocument/2006/relationships/hyperlink" Target="https://www.tiktok.com/@abbygoospam/video/7537406102342765854" TargetMode="External"/><Relationship Id="rId144" Type="http://schemas.openxmlformats.org/officeDocument/2006/relationships/hyperlink" Target="https://www.tiktok.com/@snipestwins/video/7303343454619176222" TargetMode="External"/><Relationship Id="rId90" Type="http://schemas.openxmlformats.org/officeDocument/2006/relationships/hyperlink" Target="https://www.tiktok.com/@monikkamancini/video/7498794611154963767" TargetMode="External"/><Relationship Id="rId165" Type="http://schemas.openxmlformats.org/officeDocument/2006/relationships/hyperlink" Target="http://lena.com/" TargetMode="External"/><Relationship Id="rId186" Type="http://schemas.openxmlformats.org/officeDocument/2006/relationships/hyperlink" Target="https://www.tiktok.com/@foxycoupons.com/video/7410541638277254442" TargetMode="External"/><Relationship Id="rId211" Type="http://schemas.openxmlformats.org/officeDocument/2006/relationships/hyperlink" Target="https://www.tiktok.com/@mina.avzl/video/7548197001062649106" TargetMode="External"/><Relationship Id="rId232" Type="http://schemas.openxmlformats.org/officeDocument/2006/relationships/hyperlink" Target="https://www.tiktok.com/@user091823071521/video/7519655108896967967" TargetMode="External"/><Relationship Id="rId253" Type="http://schemas.openxmlformats.org/officeDocument/2006/relationships/hyperlink" Target="https://www.tiktok.com/@th1s1saj0k3/video/7465173600966954282" TargetMode="External"/><Relationship Id="rId27" Type="http://schemas.openxmlformats.org/officeDocument/2006/relationships/hyperlink" Target="https://www.tiktok.com/@alayarobbins/video/7535587434080324894" TargetMode="External"/><Relationship Id="rId48" Type="http://schemas.openxmlformats.org/officeDocument/2006/relationships/hyperlink" Target="https://www.tiktok.com/@leiannegeangan/video/7410551861377322286" TargetMode="External"/><Relationship Id="rId69" Type="http://schemas.openxmlformats.org/officeDocument/2006/relationships/hyperlink" Target="https://www.tiktok.com/@_kais.spam_/video/7535542889573600542" TargetMode="External"/><Relationship Id="rId113" Type="http://schemas.openxmlformats.org/officeDocument/2006/relationships/hyperlink" Target="https://www.tiktok.com/@skims/video/7283240776723664171" TargetMode="External"/><Relationship Id="rId134" Type="http://schemas.openxmlformats.org/officeDocument/2006/relationships/hyperlink" Target="https://www.tiktok.com/@lucillefletcher/video/7481015960325967126" TargetMode="External"/><Relationship Id="rId80" Type="http://schemas.openxmlformats.org/officeDocument/2006/relationships/hyperlink" Target="https://www.tiktok.com/@tikershopofficial/video/7439595605925678391" TargetMode="External"/><Relationship Id="rId155" Type="http://schemas.openxmlformats.org/officeDocument/2006/relationships/hyperlink" Target="https://www.tiktok.com/@sophiaskincare/video/7547113809870081335" TargetMode="External"/><Relationship Id="rId176" Type="http://schemas.openxmlformats.org/officeDocument/2006/relationships/hyperlink" Target="https://www.tiktok.com/@khkiddo/video/7525182454114700557" TargetMode="External"/><Relationship Id="rId197" Type="http://schemas.openxmlformats.org/officeDocument/2006/relationships/hyperlink" Target="https://www.tiktok.com/@callahanrahm/video/7544531218637933838" TargetMode="External"/><Relationship Id="rId201" Type="http://schemas.openxmlformats.org/officeDocument/2006/relationships/hyperlink" Target="https://www.tiktok.com/@skims/video/7474771093094419758" TargetMode="External"/><Relationship Id="rId222" Type="http://schemas.openxmlformats.org/officeDocument/2006/relationships/hyperlink" Target="https://www.tiktok.com/@evelynomadera/video/7411319543429156127" TargetMode="External"/><Relationship Id="rId243" Type="http://schemas.openxmlformats.org/officeDocument/2006/relationships/hyperlink" Target="https://www.tiktok.com/@breuninger/video/7430135314926013729" TargetMode="External"/><Relationship Id="rId264" Type="http://schemas.openxmlformats.org/officeDocument/2006/relationships/hyperlink" Target="https://www.tiktok.com/@sadieemckennaa/video/7341218489136467206" TargetMode="External"/><Relationship Id="rId17" Type="http://schemas.openxmlformats.org/officeDocument/2006/relationships/hyperlink" Target="https://www.tiktok.com/@_erikamayo/video/7538453597621701910" TargetMode="External"/><Relationship Id="rId38" Type="http://schemas.openxmlformats.org/officeDocument/2006/relationships/hyperlink" Target="https://www.tiktok.com/@neahimani/video/7361525184349719813" TargetMode="External"/><Relationship Id="rId59" Type="http://schemas.openxmlformats.org/officeDocument/2006/relationships/hyperlink" Target="https://www.tiktok.com/@tiffanygranted/video/7330619892774882606" TargetMode="External"/><Relationship Id="rId103" Type="http://schemas.openxmlformats.org/officeDocument/2006/relationships/hyperlink" Target="https://www.tiktok.com/@jeazellereanne/video/7547783637673069837" TargetMode="External"/><Relationship Id="rId124" Type="http://schemas.openxmlformats.org/officeDocument/2006/relationships/hyperlink" Target="https://www.tiktok.com/@its.kyky0/video/7450548746917514518" TargetMode="External"/><Relationship Id="rId70" Type="http://schemas.openxmlformats.org/officeDocument/2006/relationships/hyperlink" Target="https://www.tiktok.com/@charniqg/video/7275734950618467626" TargetMode="External"/><Relationship Id="rId91" Type="http://schemas.openxmlformats.org/officeDocument/2006/relationships/hyperlink" Target="https://www.tiktok.com/@aaliyahfairbrother/video/7441278740161678625" TargetMode="External"/><Relationship Id="rId145" Type="http://schemas.openxmlformats.org/officeDocument/2006/relationships/hyperlink" Target="https://www.tiktok.com/@taliafoti/video/7447218075172293930" TargetMode="External"/><Relationship Id="rId166" Type="http://schemas.openxmlformats.org/officeDocument/2006/relationships/hyperlink" Target="https://www.tiktok.com/@lenakadry/video/7500011745298189599" TargetMode="External"/><Relationship Id="rId187" Type="http://schemas.openxmlformats.org/officeDocument/2006/relationships/hyperlink" Target="https://www.tiktok.com/@daayylaan/video/7266527970976730411" TargetMode="External"/><Relationship Id="rId1" Type="http://schemas.openxmlformats.org/officeDocument/2006/relationships/hyperlink" Target="https://p16-common-sign-sg.tiktokcdn-us.com/tos-alisg-p-0037/okuPZ2ICDQemQziYAwFEUrR1oBf7nTBQE0gDEs~tplv-tiktokx-origin.image?dr=9636&amp;x-expires=1757631600&amp;x-signature=86zElTBihC6xMJHBzfhmnzU%2BINE%3D&amp;t=4d5b0474&amp;ps=13740610&amp;shp=81f88b70&amp;shcp=43f4a2f9&amp;idc=useast5" TargetMode="External"/><Relationship Id="rId212" Type="http://schemas.openxmlformats.org/officeDocument/2006/relationships/hyperlink" Target="https://www.tiktok.com/@daayylaan/video/7264385064442629418" TargetMode="External"/><Relationship Id="rId233" Type="http://schemas.openxmlformats.org/officeDocument/2006/relationships/hyperlink" Target="https://www.tiktok.com/@the.princess.mini/video/7304409353178680582" TargetMode="External"/><Relationship Id="rId254" Type="http://schemas.openxmlformats.org/officeDocument/2006/relationships/hyperlink" Target="https://www.tiktok.com/@leahcedeno/video/7463291828192759086" TargetMode="External"/><Relationship Id="rId28" Type="http://schemas.openxmlformats.org/officeDocument/2006/relationships/hyperlink" Target="https://www.tiktok.com/@anjana.dhimann/video/7520414868726500614" TargetMode="External"/><Relationship Id="rId49" Type="http://schemas.openxmlformats.org/officeDocument/2006/relationships/hyperlink" Target="https://www.tiktok.com/@sunisalee_/video/7402662726901845278" TargetMode="External"/><Relationship Id="rId114" Type="http://schemas.openxmlformats.org/officeDocument/2006/relationships/hyperlink" Target="https://www.tiktok.com/@gibby_333/video/7539303299237891358" TargetMode="External"/><Relationship Id="rId60" Type="http://schemas.openxmlformats.org/officeDocument/2006/relationships/hyperlink" Target="https://www.tiktok.com/@jennabachrach2/video/7517761186742553870" TargetMode="External"/><Relationship Id="rId81" Type="http://schemas.openxmlformats.org/officeDocument/2006/relationships/hyperlink" Target="https://www.tiktok.com/@michellesegredo/video/7277997826867514667" TargetMode="External"/><Relationship Id="rId135" Type="http://schemas.openxmlformats.org/officeDocument/2006/relationships/hyperlink" Target="https://www.tiktok.com/@aimeejaihall/video/7413105861826055431" TargetMode="External"/><Relationship Id="rId156" Type="http://schemas.openxmlformats.org/officeDocument/2006/relationships/hyperlink" Target="https://www.tiktok.com/@ilis249/video/7287473419351018798" TargetMode="External"/><Relationship Id="rId177" Type="http://schemas.openxmlformats.org/officeDocument/2006/relationships/hyperlink" Target="https://www.tiktok.com/@allanahjoi/video/7415741030676368682" TargetMode="External"/><Relationship Id="rId198" Type="http://schemas.openxmlformats.org/officeDocument/2006/relationships/hyperlink" Target="https://www.tiktok.com/@kitcatt13/video/7505899964254424351" TargetMode="External"/><Relationship Id="rId202" Type="http://schemas.openxmlformats.org/officeDocument/2006/relationships/hyperlink" Target="https://www.tiktok.com/@lexielearmann/video/7265058890696494378" TargetMode="External"/><Relationship Id="rId223" Type="http://schemas.openxmlformats.org/officeDocument/2006/relationships/hyperlink" Target="https://www.tiktok.com/@skims/video/7547356048730901815" TargetMode="External"/><Relationship Id="rId244" Type="http://schemas.openxmlformats.org/officeDocument/2006/relationships/hyperlink" Target="https://www.tiktok.com/@kriselamae/video/7532956116892863775" TargetMode="External"/><Relationship Id="rId18" Type="http://schemas.openxmlformats.org/officeDocument/2006/relationships/hyperlink" Target="https://www.tiktok.com/@alissaandrea/video/7525168683455352078" TargetMode="External"/><Relationship Id="rId39" Type="http://schemas.openxmlformats.org/officeDocument/2006/relationships/hyperlink" Target="https://www.tiktok.com/@summerchristiee4/video/7436048544173231392" TargetMode="External"/><Relationship Id="rId265" Type="http://schemas.openxmlformats.org/officeDocument/2006/relationships/hyperlink" Target="https://www.tiktok.com/@isabellamuhairez/video/7475487748971924759" TargetMode="External"/><Relationship Id="rId50" Type="http://schemas.openxmlformats.org/officeDocument/2006/relationships/hyperlink" Target="https://www.tiktok.com/@jessarakelyan/video/7470265457426124063" TargetMode="External"/><Relationship Id="rId104" Type="http://schemas.openxmlformats.org/officeDocument/2006/relationships/hyperlink" Target="https://www.tiktok.com/@lolanellie/video/7546209746164911391" TargetMode="External"/><Relationship Id="rId125" Type="http://schemas.openxmlformats.org/officeDocument/2006/relationships/hyperlink" Target="https://www.tiktok.com/@layla.whitlock/video/7314816027831831838" TargetMode="External"/><Relationship Id="rId146" Type="http://schemas.openxmlformats.org/officeDocument/2006/relationships/hyperlink" Target="https://www.tiktok.com/@sugaringsnooopy/video/7547085040686042382" TargetMode="External"/><Relationship Id="rId167" Type="http://schemas.openxmlformats.org/officeDocument/2006/relationships/hyperlink" Target="https://www.tiktok.com/@macwebb22/video/7532322676648561950" TargetMode="External"/><Relationship Id="rId188" Type="http://schemas.openxmlformats.org/officeDocument/2006/relationships/hyperlink" Target="https://www.tiktok.com/@sneakysteppersavage/video/7474056265019313451" TargetMode="External"/><Relationship Id="rId71" Type="http://schemas.openxmlformats.org/officeDocument/2006/relationships/hyperlink" Target="https://www.tiktok.com/@badgaledie/video/7508071380454280470" TargetMode="External"/><Relationship Id="rId92" Type="http://schemas.openxmlformats.org/officeDocument/2006/relationships/hyperlink" Target="https://www.tiktok.com/@alissaandrea/video/7519312420716760334" TargetMode="External"/><Relationship Id="rId213" Type="http://schemas.openxmlformats.org/officeDocument/2006/relationships/hyperlink" Target="https://www.tiktok.com/@lilynicolesayre/video/7547977881901616406" TargetMode="External"/><Relationship Id="rId234" Type="http://schemas.openxmlformats.org/officeDocument/2006/relationships/hyperlink" Target="https://www.tiktok.com/@achadinhosnikitaa/video/7309909972882607365" TargetMode="External"/><Relationship Id="rId2" Type="http://schemas.openxmlformats.org/officeDocument/2006/relationships/hyperlink" Target="https://www.tiktok.com/@aimeejaihall/video/7472428744699940114" TargetMode="External"/><Relationship Id="rId29" Type="http://schemas.openxmlformats.org/officeDocument/2006/relationships/hyperlink" Target="https://www.tiktok.com/@jaimecampanella/video/7535825331928845581" TargetMode="External"/><Relationship Id="rId255" Type="http://schemas.openxmlformats.org/officeDocument/2006/relationships/hyperlink" Target="https://www.tiktok.com/@khushipatelj/video/7540811196862172447" TargetMode="External"/><Relationship Id="rId40" Type="http://schemas.openxmlformats.org/officeDocument/2006/relationships/hyperlink" Target="https://www.tiktok.com/@vmeghanaaa/video/7435713895299337515" TargetMode="External"/><Relationship Id="rId115" Type="http://schemas.openxmlformats.org/officeDocument/2006/relationships/hyperlink" Target="https://www.tiktok.com/@leahsep/video/7397258415472479506" TargetMode="External"/><Relationship Id="rId136" Type="http://schemas.openxmlformats.org/officeDocument/2006/relationships/hyperlink" Target="https://www.tiktok.com/@liv.yah/video/7399019466476096800" TargetMode="External"/><Relationship Id="rId157" Type="http://schemas.openxmlformats.org/officeDocument/2006/relationships/hyperlink" Target="https://www.tiktok.com/@ems.panico/video/7296593237047840042" TargetMode="External"/><Relationship Id="rId178" Type="http://schemas.openxmlformats.org/officeDocument/2006/relationships/hyperlink" Target="https://www.tiktok.com/@allysasway/video/7289143703489252654" TargetMode="External"/><Relationship Id="rId61" Type="http://schemas.openxmlformats.org/officeDocument/2006/relationships/hyperlink" Target="https://www.tiktok.com/@ybukiii/video/7548157892944235797" TargetMode="External"/><Relationship Id="rId82" Type="http://schemas.openxmlformats.org/officeDocument/2006/relationships/hyperlink" Target="https://www.tiktok.com/@eralcci/video/7283620794595331359" TargetMode="External"/><Relationship Id="rId199" Type="http://schemas.openxmlformats.org/officeDocument/2006/relationships/hyperlink" Target="https://www.tiktok.com/@aleynaariana/video/7547084856941890871" TargetMode="External"/><Relationship Id="rId203" Type="http://schemas.openxmlformats.org/officeDocument/2006/relationships/hyperlink" Target="https://www.tiktok.com/@abbyastin/video/7542909931582786829" TargetMode="External"/><Relationship Id="rId19" Type="http://schemas.openxmlformats.org/officeDocument/2006/relationships/hyperlink" Target="https://www.tiktok.com/@paulinareitman/video/7524445047396355341" TargetMode="External"/><Relationship Id="rId224" Type="http://schemas.openxmlformats.org/officeDocument/2006/relationships/hyperlink" Target="https://www.tiktok.com/@isabellamuhairez/video/7454333537261587744" TargetMode="External"/><Relationship Id="rId245" Type="http://schemas.openxmlformats.org/officeDocument/2006/relationships/hyperlink" Target="https://www.tiktok.com/@uloveemilyy/video/7528787026628398366" TargetMode="External"/><Relationship Id="rId266" Type="http://schemas.openxmlformats.org/officeDocument/2006/relationships/hyperlink" Target="https://www.tiktok.com/@kardashdayss/video/7539568562755603734" TargetMode="External"/><Relationship Id="rId30" Type="http://schemas.openxmlformats.org/officeDocument/2006/relationships/hyperlink" Target="https://www.tiktok.com/@chloevanberkel/video/7535222279324618015" TargetMode="External"/><Relationship Id="rId105" Type="http://schemas.openxmlformats.org/officeDocument/2006/relationships/hyperlink" Target="https://www.tiktok.com/@_katisha_/video/7511389340317043999" TargetMode="External"/><Relationship Id="rId126" Type="http://schemas.openxmlformats.org/officeDocument/2006/relationships/hyperlink" Target="https://www.tiktok.com/@samandjessofficial/video/7293232649076886827" TargetMode="External"/><Relationship Id="rId147" Type="http://schemas.openxmlformats.org/officeDocument/2006/relationships/hyperlink" Target="https://www.tiktok.com/@chelseasvanity/video/7537810770428529933" TargetMode="External"/><Relationship Id="rId168" Type="http://schemas.openxmlformats.org/officeDocument/2006/relationships/hyperlink" Target="https://www.tiktok.com/@gabimfmoura/video/7358956787489443104" TargetMode="External"/><Relationship Id="rId51" Type="http://schemas.openxmlformats.org/officeDocument/2006/relationships/hyperlink" Target="https://www.tiktok.com/@oliviawagnerr/video/7423163283424677162" TargetMode="External"/><Relationship Id="rId72" Type="http://schemas.openxmlformats.org/officeDocument/2006/relationships/hyperlink" Target="https://www.tiktok.com/@daanawilliamson/video/7444310799734017322" TargetMode="External"/><Relationship Id="rId93" Type="http://schemas.openxmlformats.org/officeDocument/2006/relationships/hyperlink" Target="https://www.tiktok.com/@alicecomerfordd/video/7527763300621241622" TargetMode="External"/><Relationship Id="rId189" Type="http://schemas.openxmlformats.org/officeDocument/2006/relationships/hyperlink" Target="https://www.tiktok.com/@sundaykalogeras/video/7466540927478140166" TargetMode="External"/><Relationship Id="rId3" Type="http://schemas.openxmlformats.org/officeDocument/2006/relationships/hyperlink" Target="https://www.tiktok.com/@amydiala/video/7545565336075078967" TargetMode="External"/><Relationship Id="rId214" Type="http://schemas.openxmlformats.org/officeDocument/2006/relationships/hyperlink" Target="https://www.tiktok.com/@jasmineetaay/video/7505224037224877358" TargetMode="External"/><Relationship Id="rId235" Type="http://schemas.openxmlformats.org/officeDocument/2006/relationships/hyperlink" Target="https://www.tiktok.com/@itsmajajo/video/7517733647529577750" TargetMode="External"/><Relationship Id="rId256" Type="http://schemas.openxmlformats.org/officeDocument/2006/relationships/hyperlink" Target="https://www.tiktok.com/@chlolenahan/video/7538562409569537302" TargetMode="External"/><Relationship Id="rId116" Type="http://schemas.openxmlformats.org/officeDocument/2006/relationships/hyperlink" Target="https://www.tiktok.com/@miakhannn/video/7440407219889245472" TargetMode="External"/><Relationship Id="rId137" Type="http://schemas.openxmlformats.org/officeDocument/2006/relationships/hyperlink" Target="https://www.tiktok.com/@sophiecharlotth/video/7487989383404981526" TargetMode="External"/><Relationship Id="rId158" Type="http://schemas.openxmlformats.org/officeDocument/2006/relationships/hyperlink" Target="https://www.tiktok.com/@luisapiou/video/7243861024749653290" TargetMode="External"/><Relationship Id="rId20" Type="http://schemas.openxmlformats.org/officeDocument/2006/relationships/hyperlink" Target="https://www.tiktok.com/@mananamariee/video/7360723271727238446" TargetMode="External"/><Relationship Id="rId41" Type="http://schemas.openxmlformats.org/officeDocument/2006/relationships/hyperlink" Target="https://www.tiktok.com/@emmadoslak/video/7428338284981456171" TargetMode="External"/><Relationship Id="rId62" Type="http://schemas.openxmlformats.org/officeDocument/2006/relationships/hyperlink" Target="https://www.tiktok.com/@leilajoness/video/7392699158601141534" TargetMode="External"/><Relationship Id="rId83" Type="http://schemas.openxmlformats.org/officeDocument/2006/relationships/hyperlink" Target="https://www.tiktok.com/@reinadombrovska555/video/7413468600884890913" TargetMode="External"/><Relationship Id="rId179" Type="http://schemas.openxmlformats.org/officeDocument/2006/relationships/hyperlink" Target="https://www.tiktok.com/@iamjaylam/video/7466164041724136750" TargetMode="External"/><Relationship Id="rId190" Type="http://schemas.openxmlformats.org/officeDocument/2006/relationships/hyperlink" Target="https://www.tiktok.com/@jezlyn.vega/video/7458760536897998123" TargetMode="External"/><Relationship Id="rId204" Type="http://schemas.openxmlformats.org/officeDocument/2006/relationships/hyperlink" Target="https://www.tiktok.com/@hannahleelifestyle/video/7281336747609476398" TargetMode="External"/><Relationship Id="rId225" Type="http://schemas.openxmlformats.org/officeDocument/2006/relationships/hyperlink" Target="https://www.tiktok.com/@artikelnummer_sh/video/7543210011414121750" TargetMode="External"/><Relationship Id="rId246" Type="http://schemas.openxmlformats.org/officeDocument/2006/relationships/hyperlink" Target="https://www.tiktok.com/@giadiminosupremacy/video/7282516775244352814" TargetMode="External"/><Relationship Id="rId267" Type="http://schemas.openxmlformats.org/officeDocument/2006/relationships/hyperlink" Target="https://www.tiktok.com/@katy3ey/video/7528874856771751190" TargetMode="External"/><Relationship Id="rId106" Type="http://schemas.openxmlformats.org/officeDocument/2006/relationships/hyperlink" Target="https://www.tiktok.com/@haleypham/video/7351872010340945195" TargetMode="External"/><Relationship Id="rId127" Type="http://schemas.openxmlformats.org/officeDocument/2006/relationships/hyperlink" Target="https://www.tiktok.com/@petitejuan/video/7426422301219949829" TargetMode="External"/><Relationship Id="rId10" Type="http://schemas.openxmlformats.org/officeDocument/2006/relationships/hyperlink" Target="https://www.tiktok.com/@allysabreanne/video/7512167858869243178" TargetMode="External"/><Relationship Id="rId31" Type="http://schemas.openxmlformats.org/officeDocument/2006/relationships/hyperlink" Target="https://www.tiktok.com/@hannahslope/video/7446507197145697566" TargetMode="External"/><Relationship Id="rId52" Type="http://schemas.openxmlformats.org/officeDocument/2006/relationships/hyperlink" Target="https://www.tiktok.com/@simmykinns/video/7435041200404499755" TargetMode="External"/><Relationship Id="rId73" Type="http://schemas.openxmlformats.org/officeDocument/2006/relationships/hyperlink" Target="https://www.tiktok.com/@itsjadasasha/video/7470268447771872543" TargetMode="External"/><Relationship Id="rId94" Type="http://schemas.openxmlformats.org/officeDocument/2006/relationships/hyperlink" Target="https://www.tiktok.com/@carlinaerikinn/video/7527613325723651360" TargetMode="External"/><Relationship Id="rId148" Type="http://schemas.openxmlformats.org/officeDocument/2006/relationships/hyperlink" Target="https://www.tiktok.com/@kaylinriverabaer/video/7546769507897838879" TargetMode="External"/><Relationship Id="rId169" Type="http://schemas.openxmlformats.org/officeDocument/2006/relationships/hyperlink" Target="https://www.tiktok.com/@francesca.wz/video/7442700305457974550" TargetMode="External"/><Relationship Id="rId4" Type="http://schemas.openxmlformats.org/officeDocument/2006/relationships/hyperlink" Target="https://www.tiktok.com/@leilanigreen/video/7546329311138172191" TargetMode="External"/><Relationship Id="rId180" Type="http://schemas.openxmlformats.org/officeDocument/2006/relationships/hyperlink" Target="https://www.tiktok.com/@snipestwins/video/7335284133561666858" TargetMode="External"/><Relationship Id="rId215" Type="http://schemas.openxmlformats.org/officeDocument/2006/relationships/hyperlink" Target="https://www.tiktok.com/@aimeejaihall/video/7450937521803922696" TargetMode="External"/><Relationship Id="rId236" Type="http://schemas.openxmlformats.org/officeDocument/2006/relationships/hyperlink" Target="https://www.tiktok.com/@shaeswasbrookmurray/video/7383092028202093831" TargetMode="External"/><Relationship Id="rId257" Type="http://schemas.openxmlformats.org/officeDocument/2006/relationships/hyperlink" Target="https://www.tiktok.com/@stone.mink/video/7530730245289168159" TargetMode="External"/><Relationship Id="rId42" Type="http://schemas.openxmlformats.org/officeDocument/2006/relationships/hyperlink" Target="https://www.tiktok.com/@alyssah0warrdd/video/7517095320518528286" TargetMode="External"/><Relationship Id="rId84" Type="http://schemas.openxmlformats.org/officeDocument/2006/relationships/hyperlink" Target="https://www.tiktok.com/@j.lty/video/7476102334880222486" TargetMode="External"/><Relationship Id="rId138" Type="http://schemas.openxmlformats.org/officeDocument/2006/relationships/hyperlink" Target="https://www.tiktok.com/@michelletok/video/7352975457869909291" TargetMode="External"/><Relationship Id="rId191" Type="http://schemas.openxmlformats.org/officeDocument/2006/relationships/hyperlink" Target="https://www.tiktok.com/@ariannavinceslao14/video/7425007448320216350" TargetMode="External"/><Relationship Id="rId205" Type="http://schemas.openxmlformats.org/officeDocument/2006/relationships/hyperlink" Target="https://www.tiktok.com/@lovealwayspiper/video/7469939167422827822" TargetMode="External"/><Relationship Id="rId247" Type="http://schemas.openxmlformats.org/officeDocument/2006/relationships/hyperlink" Target="https://www.tiktok.com/@jeady.geul/video/7526519081722236193" TargetMode="External"/><Relationship Id="rId107" Type="http://schemas.openxmlformats.org/officeDocument/2006/relationships/hyperlink" Target="https://www.tiktok.com/@leagueonevolleyball/video/7531128573500050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763F6-2091-7C4B-B7E6-8032A5E4C4A7}">
  <sheetPr>
    <tabColor rgb="FF000000"/>
    <outlinePr summaryBelow="0" summaryRight="0"/>
  </sheetPr>
  <dimension ref="A1:AB267"/>
  <sheetViews>
    <sheetView tabSelected="1" workbookViewId="0">
      <pane ySplit="2" topLeftCell="A3" activePane="bottomLeft" state="frozen"/>
      <selection pane="bottomLeft" activeCell="F37" sqref="F37"/>
    </sheetView>
  </sheetViews>
  <sheetFormatPr baseColWidth="10" defaultColWidth="14.3984375" defaultRowHeight="15.75" customHeight="1"/>
  <cols>
    <col min="1" max="1" width="7.59765625" customWidth="1"/>
    <col min="6" max="6" width="19.59765625" customWidth="1"/>
    <col min="12" max="12" width="17.3984375" customWidth="1"/>
  </cols>
  <sheetData>
    <row r="1" spans="1:28">
      <c r="A1" s="18"/>
      <c r="B1" s="18"/>
      <c r="C1" s="18"/>
      <c r="D1" s="27"/>
      <c r="E1" s="18"/>
      <c r="F1" s="18"/>
      <c r="G1" s="23"/>
      <c r="H1" s="23"/>
      <c r="I1" s="25"/>
      <c r="J1" s="25" t="s">
        <v>2235</v>
      </c>
      <c r="K1" s="25" t="s">
        <v>2235</v>
      </c>
      <c r="L1" s="26" t="s">
        <v>2234</v>
      </c>
      <c r="M1" s="25" t="s">
        <v>2233</v>
      </c>
      <c r="N1" s="24" t="s">
        <v>2233</v>
      </c>
      <c r="O1" s="19"/>
      <c r="P1" s="18"/>
      <c r="Q1" s="18"/>
      <c r="R1" s="18"/>
      <c r="S1" s="18"/>
      <c r="T1" s="18"/>
      <c r="U1" s="18"/>
      <c r="V1" s="18"/>
      <c r="W1" s="18"/>
      <c r="X1" s="18"/>
      <c r="Y1" s="18"/>
      <c r="Z1" s="18"/>
      <c r="AA1" s="18"/>
      <c r="AB1" s="18"/>
    </row>
    <row r="2" spans="1:28">
      <c r="A2" s="18" t="s">
        <v>2232</v>
      </c>
      <c r="B2" s="18" t="s">
        <v>2231</v>
      </c>
      <c r="C2" s="18" t="s">
        <v>2230</v>
      </c>
      <c r="D2" s="18" t="s">
        <v>2229</v>
      </c>
      <c r="E2" s="18" t="s">
        <v>2228</v>
      </c>
      <c r="F2" s="18" t="s">
        <v>2227</v>
      </c>
      <c r="G2" s="22" t="s">
        <v>2226</v>
      </c>
      <c r="H2" s="22" t="s">
        <v>2225</v>
      </c>
      <c r="I2" s="22" t="s">
        <v>2224</v>
      </c>
      <c r="J2" s="23" t="s">
        <v>2223</v>
      </c>
      <c r="K2" s="22" t="s">
        <v>2222</v>
      </c>
      <c r="L2" s="21" t="s">
        <v>2221</v>
      </c>
      <c r="M2" s="20" t="s">
        <v>2220</v>
      </c>
      <c r="N2" s="19" t="s">
        <v>2219</v>
      </c>
      <c r="O2" s="19" t="s">
        <v>2218</v>
      </c>
      <c r="P2" s="18" t="s">
        <v>2217</v>
      </c>
      <c r="Q2" s="18" t="s">
        <v>2216</v>
      </c>
      <c r="R2" s="18" t="s">
        <v>2215</v>
      </c>
      <c r="S2" s="18" t="s">
        <v>2214</v>
      </c>
      <c r="T2" s="18" t="s">
        <v>2213</v>
      </c>
      <c r="U2" s="18" t="s">
        <v>2212</v>
      </c>
      <c r="V2" s="18" t="s">
        <v>2211</v>
      </c>
      <c r="W2" s="18" t="s">
        <v>2210</v>
      </c>
      <c r="X2" s="18" t="s">
        <v>2209</v>
      </c>
      <c r="Y2" s="18" t="s">
        <v>2208</v>
      </c>
      <c r="Z2" s="18" t="s">
        <v>2207</v>
      </c>
      <c r="AA2" s="18" t="s">
        <v>2206</v>
      </c>
      <c r="AB2" s="18" t="s">
        <v>2205</v>
      </c>
    </row>
    <row r="3" spans="1:28">
      <c r="A3" s="4">
        <v>1</v>
      </c>
      <c r="B3" s="1" t="s">
        <v>465</v>
      </c>
      <c r="C3" s="1" t="s">
        <v>464</v>
      </c>
      <c r="D3" s="5" t="s">
        <v>463</v>
      </c>
      <c r="E3" s="14" t="s">
        <v>462</v>
      </c>
      <c r="F3" s="14" t="s">
        <v>2204</v>
      </c>
      <c r="G3" s="14" t="s">
        <v>2203</v>
      </c>
      <c r="H3" s="10" t="str">
        <f>IF(Q3&lt;100000,"1.마이크로-10만명 미만","2.메가-10만명 이상")</f>
        <v>2.메가-10만명 이상</v>
      </c>
      <c r="I3" s="10" t="str">
        <f ca="1">IFERROR(__xludf.DUMMYFUNCTION("iferror(REGEXEXTRACT(E3,""[a-zA-Z0-9._%+-]+@[a-zA-Z0-9.-]+\.[a-zA-Z]{2,}""),""2.이메일 없음"")"),"aimee@friendsinreality.com")</f>
        <v>aimee@friendsinreality.com</v>
      </c>
      <c r="J3" s="10">
        <f>IFERROR((S3+T3+U3)/V3,"")</f>
        <v>0.1402938596491228</v>
      </c>
      <c r="K3" s="9">
        <f>IFERROR(U3/V3,"")</f>
        <v>4.8245614035087722E-4</v>
      </c>
      <c r="L3" s="8">
        <f>IFERROR(MIN(Q3/1000*1.5, 150),"")</f>
        <v>150</v>
      </c>
      <c r="M3" s="7">
        <f>IFERROR(V3/Q3,"")</f>
        <v>14.25</v>
      </c>
      <c r="N3" s="6">
        <f>IFERROR((S3+U3)/Q3,"")</f>
        <v>1.944375</v>
      </c>
      <c r="O3" s="6">
        <f>IFERROR(100/(L3+1),"")</f>
        <v>0.66225165562913912</v>
      </c>
      <c r="P3" s="17" t="s">
        <v>2202</v>
      </c>
      <c r="Q3" s="16">
        <v>1600000</v>
      </c>
      <c r="R3" s="4">
        <v>966</v>
      </c>
      <c r="S3" s="4">
        <v>3100000</v>
      </c>
      <c r="T3" s="4">
        <v>87700</v>
      </c>
      <c r="U3" s="4">
        <v>11000</v>
      </c>
      <c r="V3" s="4">
        <v>22800000</v>
      </c>
      <c r="W3" s="4">
        <v>10</v>
      </c>
      <c r="X3" s="1" t="s">
        <v>23</v>
      </c>
      <c r="Y3" s="1" t="s">
        <v>2201</v>
      </c>
      <c r="Z3" s="3">
        <v>45706.069444444445</v>
      </c>
      <c r="AA3" s="2" t="s">
        <v>2200</v>
      </c>
      <c r="AB3" s="1" t="s">
        <v>456</v>
      </c>
    </row>
    <row r="4" spans="1:28">
      <c r="A4" s="4">
        <v>2</v>
      </c>
      <c r="B4" s="1" t="s">
        <v>2199</v>
      </c>
      <c r="C4" s="1" t="s">
        <v>2198</v>
      </c>
      <c r="D4" s="5" t="s">
        <v>2197</v>
      </c>
      <c r="E4" s="14" t="s">
        <v>2196</v>
      </c>
      <c r="F4" s="1" t="s">
        <v>2195</v>
      </c>
      <c r="G4" s="10"/>
      <c r="H4" s="10" t="str">
        <f>IF(Q4&lt;100000,"1.마이크로-10만명 미만","2.메가-10만명 이상")</f>
        <v>2.메가-10만명 이상</v>
      </c>
      <c r="I4" s="10" t="str">
        <f ca="1">IFERROR(__xludf.DUMMYFUNCTION("iferror(REGEXEXTRACT(E4,""[a-zA-Z0-9._%+-]+@[a-zA-Z0-9.-]+\.[a-zA-Z]{2,}""),""2.이메일 없음"")"),"amydiala@underscoretalent.com")</f>
        <v>amydiala@underscoretalent.com</v>
      </c>
      <c r="J4" s="10">
        <f>IFERROR((S4+T4+U4)/V4,"")</f>
        <v>4.8646268985252039E-2</v>
      </c>
      <c r="K4" s="9">
        <f>IFERROR(U4/V4,"")</f>
        <v>1.3207131851199648E-3</v>
      </c>
      <c r="L4" s="8">
        <f>IFERROR(MIN(Q4/1000*1.5, 150),"")</f>
        <v>150</v>
      </c>
      <c r="M4" s="7">
        <f>IFERROR(V4/Q4,"")</f>
        <v>1.3318674875403107E-2</v>
      </c>
      <c r="N4" s="6">
        <f>IFERROR((S4+U4)/Q4,"")</f>
        <v>6.361770741717971E-4</v>
      </c>
      <c r="O4" s="6">
        <f>IFERROR(100/(L4+1),"")</f>
        <v>0.66225165562913912</v>
      </c>
      <c r="P4" s="5" t="s">
        <v>2194</v>
      </c>
      <c r="Q4" s="4">
        <v>341100</v>
      </c>
      <c r="R4" s="4">
        <v>1354</v>
      </c>
      <c r="S4" s="4">
        <v>211</v>
      </c>
      <c r="T4" s="4">
        <v>4</v>
      </c>
      <c r="U4" s="4">
        <v>6</v>
      </c>
      <c r="V4" s="4">
        <v>4543</v>
      </c>
      <c r="W4" s="4">
        <v>29</v>
      </c>
      <c r="X4" s="1" t="s">
        <v>2193</v>
      </c>
      <c r="Y4" s="1" t="s">
        <v>2192</v>
      </c>
      <c r="Z4" s="3">
        <v>45903.158379629633</v>
      </c>
      <c r="AA4" s="2" t="s">
        <v>2191</v>
      </c>
      <c r="AB4" s="1" t="s">
        <v>2190</v>
      </c>
    </row>
    <row r="5" spans="1:28">
      <c r="A5" s="4">
        <v>3</v>
      </c>
      <c r="B5" s="1" t="s">
        <v>2189</v>
      </c>
      <c r="C5" s="1" t="s">
        <v>2184</v>
      </c>
      <c r="D5" s="5" t="s">
        <v>2188</v>
      </c>
      <c r="E5" s="14" t="s">
        <v>2187</v>
      </c>
      <c r="F5" s="1" t="s">
        <v>2186</v>
      </c>
      <c r="G5" s="10"/>
      <c r="H5" s="10" t="str">
        <f>IF(Q5&lt;100000,"1.마이크로-10만명 미만","2.메가-10만명 이상")</f>
        <v>2.메가-10만명 이상</v>
      </c>
      <c r="I5" s="10" t="str">
        <f ca="1">IFERROR(__xludf.DUMMYFUNCTION("iferror(REGEXEXTRACT(E5,""[a-zA-Z0-9._%+-]+@[a-zA-Z0-9.-]+\.[a-zA-Z]{2,}""),""2.이메일 없음"")"),"leilanigreen@portraitmgmt.com")</f>
        <v>leilanigreen@portraitmgmt.com</v>
      </c>
      <c r="J5" s="10">
        <f>IFERROR((S5+T5+U5)/V5,"")</f>
        <v>0.12937349397590361</v>
      </c>
      <c r="K5" s="9">
        <f>IFERROR(U5/V5,"")</f>
        <v>1.6867469879518072E-3</v>
      </c>
      <c r="L5" s="8">
        <f>IFERROR(MIN(Q5/1000*1.5, 150),"")</f>
        <v>150</v>
      </c>
      <c r="M5" s="7">
        <f>IFERROR(V5/Q5,"")</f>
        <v>4.7701149425287354E-3</v>
      </c>
      <c r="N5" s="6">
        <f>IFERROR((S5+U5)/Q5,"")</f>
        <v>6.1505747126436782E-4</v>
      </c>
      <c r="O5" s="6">
        <f>IFERROR(100/(L5+1),"")</f>
        <v>0.66225165562913912</v>
      </c>
      <c r="P5" s="5" t="s">
        <v>2185</v>
      </c>
      <c r="Q5" s="16">
        <v>8700000</v>
      </c>
      <c r="R5" s="4">
        <v>5301</v>
      </c>
      <c r="S5" s="4">
        <v>5281</v>
      </c>
      <c r="T5" s="4">
        <v>18</v>
      </c>
      <c r="U5" s="4">
        <v>70</v>
      </c>
      <c r="V5" s="4">
        <v>41500</v>
      </c>
      <c r="W5" s="4">
        <v>87</v>
      </c>
      <c r="X5" s="1" t="s">
        <v>23</v>
      </c>
      <c r="Y5" s="1" t="s">
        <v>2184</v>
      </c>
      <c r="Z5" s="3">
        <v>45905.216689814813</v>
      </c>
      <c r="AA5" s="2" t="s">
        <v>2183</v>
      </c>
      <c r="AB5" s="1">
        <v>5322175</v>
      </c>
    </row>
    <row r="6" spans="1:28">
      <c r="A6" s="4">
        <v>4</v>
      </c>
      <c r="B6" s="1" t="s">
        <v>2178</v>
      </c>
      <c r="C6" s="1" t="s">
        <v>2178</v>
      </c>
      <c r="D6" s="5" t="s">
        <v>2182</v>
      </c>
      <c r="E6" s="1" t="s">
        <v>2181</v>
      </c>
      <c r="F6" s="1" t="s">
        <v>2180</v>
      </c>
      <c r="G6" s="10"/>
      <c r="H6" s="10" t="str">
        <f>IF(Q6&lt;100000,"1.마이크로-10만명 미만","2.메가-10만명 이상")</f>
        <v>2.메가-10만명 이상</v>
      </c>
      <c r="I6" s="10" t="str">
        <f ca="1">IFERROR(__xludf.DUMMYFUNCTION("iferror(REGEXEXTRACT(E6,""[a-zA-Z0-9._%+-]+@[a-zA-Z0-9.-]+\.[a-zA-Z]{2,}""),""2.이메일 없음"")"),"gabimenardcontact@gmail.com")</f>
        <v>gabimenardcontact@gmail.com</v>
      </c>
      <c r="J6" s="10">
        <f>IFERROR((S6+T6+U6)/V6,"")</f>
        <v>0.13033112582781456</v>
      </c>
      <c r="K6" s="9">
        <f>IFERROR(U6/V6,"")</f>
        <v>7.9470198675496689E-4</v>
      </c>
      <c r="L6" s="8">
        <f>IFERROR(MIN(Q6/1000*1.5, 150),"")</f>
        <v>150</v>
      </c>
      <c r="M6" s="7">
        <f>IFERROR(V6/Q6,"")</f>
        <v>3.9271781534460336E-2</v>
      </c>
      <c r="N6" s="6">
        <f>IFERROR((S6+U6)/Q6,"")</f>
        <v>5.0767230169050711E-3</v>
      </c>
      <c r="O6" s="6">
        <f>IFERROR(100/(L6+1),"")</f>
        <v>0.66225165562913912</v>
      </c>
      <c r="P6" s="5" t="s">
        <v>2179</v>
      </c>
      <c r="Q6" s="4">
        <v>384500</v>
      </c>
      <c r="R6" s="4">
        <v>1129</v>
      </c>
      <c r="S6" s="4">
        <v>1940</v>
      </c>
      <c r="T6" s="4">
        <v>16</v>
      </c>
      <c r="U6" s="4">
        <v>12</v>
      </c>
      <c r="V6" s="4">
        <v>15100</v>
      </c>
      <c r="W6" s="4">
        <v>28</v>
      </c>
      <c r="X6" s="1" t="s">
        <v>23</v>
      </c>
      <c r="Y6" s="1" t="s">
        <v>2178</v>
      </c>
      <c r="Z6" s="3">
        <v>45903.200115740743</v>
      </c>
      <c r="AA6" s="2" t="s">
        <v>2177</v>
      </c>
      <c r="AB6" s="1" t="s">
        <v>2176</v>
      </c>
    </row>
    <row r="7" spans="1:28">
      <c r="A7" s="4">
        <v>5</v>
      </c>
      <c r="B7" s="1" t="s">
        <v>2081</v>
      </c>
      <c r="C7" s="1" t="s">
        <v>2076</v>
      </c>
      <c r="D7" s="5" t="s">
        <v>2080</v>
      </c>
      <c r="E7" s="1" t="s">
        <v>2079</v>
      </c>
      <c r="F7" s="1" t="s">
        <v>2175</v>
      </c>
      <c r="G7" s="10"/>
      <c r="H7" s="10" t="str">
        <f>IF(Q7&lt;100000,"1.마이크로-10만명 미만","2.메가-10만명 이상")</f>
        <v>2.메가-10만명 이상</v>
      </c>
      <c r="I7" s="10" t="str">
        <f ca="1">IFERROR(__xludf.DUMMYFUNCTION("iferror(REGEXEXTRACT(E7,""[a-zA-Z0-9._%+-]+@[a-zA-Z0-9.-]+\.[a-zA-Z]{2,}""),""2.이메일 없음"")"),"paulinareitman@palettemgmt.com")</f>
        <v>paulinareitman@palettemgmt.com</v>
      </c>
      <c r="J7" s="10">
        <f>IFERROR((S7+T7+U7)/V7,"")</f>
        <v>4.460464068483893E-2</v>
      </c>
      <c r="K7" s="9">
        <f>IFERROR(U7/V7,"")</f>
        <v>2.4780355936021626E-3</v>
      </c>
      <c r="L7" s="8">
        <f>IFERROR(MIN(Q7/1000*1.5, 150),"")</f>
        <v>150</v>
      </c>
      <c r="M7" s="7">
        <f>IFERROR(V7/Q7,"")</f>
        <v>3.1616809116809114E-2</v>
      </c>
      <c r="N7" s="6">
        <f>IFERROR((S7+U7)/Q7,"")</f>
        <v>1.3960113960113959E-3</v>
      </c>
      <c r="O7" s="6">
        <f>IFERROR(100/(L7+1),"")</f>
        <v>0.66225165562913912</v>
      </c>
      <c r="P7" s="5" t="s">
        <v>2174</v>
      </c>
      <c r="Q7" s="4">
        <v>140400</v>
      </c>
      <c r="R7" s="4">
        <v>975</v>
      </c>
      <c r="S7" s="4">
        <v>185</v>
      </c>
      <c r="T7" s="4">
        <v>2</v>
      </c>
      <c r="U7" s="4">
        <v>11</v>
      </c>
      <c r="V7" s="4">
        <v>4439</v>
      </c>
      <c r="W7" s="4">
        <v>60</v>
      </c>
      <c r="X7" s="1" t="s">
        <v>23</v>
      </c>
      <c r="Y7" s="1" t="s">
        <v>2076</v>
      </c>
      <c r="Z7" s="3">
        <v>45904.995844907404</v>
      </c>
      <c r="AA7" s="2" t="s">
        <v>2173</v>
      </c>
      <c r="AB7" s="1" t="s">
        <v>2074</v>
      </c>
    </row>
    <row r="8" spans="1:28">
      <c r="A8" s="4">
        <v>6</v>
      </c>
      <c r="B8" s="1" t="s">
        <v>2172</v>
      </c>
      <c r="C8" s="1" t="s">
        <v>2167</v>
      </c>
      <c r="D8" s="5" t="s">
        <v>2171</v>
      </c>
      <c r="E8" s="1" t="s">
        <v>2170</v>
      </c>
      <c r="F8" s="1" t="s">
        <v>2169</v>
      </c>
      <c r="G8" s="10"/>
      <c r="H8" s="10" t="str">
        <f>IF(Q8&lt;100000,"1.마이크로-10만명 미만","2.메가-10만명 이상")</f>
        <v>1.마이크로-10만명 미만</v>
      </c>
      <c r="I8" s="10" t="str">
        <f ca="1">IFERROR(__xludf.DUMMYFUNCTION("iferror(REGEXEXTRACT(E8,""[a-zA-Z0-9._%+-]+@[a-zA-Z0-9.-]+\.[a-zA-Z]{2,}""),""2.이메일 없음"")"),"hello@goodvarietystudio.com")</f>
        <v>hello@goodvarietystudio.com</v>
      </c>
      <c r="J8" s="10">
        <f>IFERROR((S8+T8+U8)/V8,"")</f>
        <v>2.9217719132893498E-2</v>
      </c>
      <c r="K8" s="9">
        <f>IFERROR(U8/V8,"")</f>
        <v>2.8275212064090482E-3</v>
      </c>
      <c r="L8" s="8">
        <f>IFERROR(MIN(Q8/1000*1.5, 150),"")</f>
        <v>105</v>
      </c>
      <c r="M8" s="7">
        <f>IFERROR(V8/Q8,"")</f>
        <v>1.5157142857142857E-2</v>
      </c>
      <c r="N8" s="6">
        <f>IFERROR((S8+U8)/Q8,"")</f>
        <v>4.0000000000000002E-4</v>
      </c>
      <c r="O8" s="6">
        <f>IFERROR(100/(L8+1),"")</f>
        <v>0.94339622641509435</v>
      </c>
      <c r="P8" s="5" t="s">
        <v>2168</v>
      </c>
      <c r="Q8" s="4">
        <v>70000</v>
      </c>
      <c r="R8" s="4">
        <v>1494</v>
      </c>
      <c r="S8" s="4">
        <v>25</v>
      </c>
      <c r="T8" s="4">
        <v>3</v>
      </c>
      <c r="U8" s="4">
        <v>3</v>
      </c>
      <c r="V8" s="4">
        <v>1061</v>
      </c>
      <c r="W8" s="4">
        <v>25</v>
      </c>
      <c r="X8" s="1" t="s">
        <v>23</v>
      </c>
      <c r="Y8" s="1" t="s">
        <v>2167</v>
      </c>
      <c r="Z8" s="3">
        <v>45906.143738425926</v>
      </c>
      <c r="AA8" s="2" t="s">
        <v>2166</v>
      </c>
      <c r="AB8" s="1" t="s">
        <v>2165</v>
      </c>
    </row>
    <row r="9" spans="1:28">
      <c r="A9" s="4">
        <v>7</v>
      </c>
      <c r="B9" s="1" t="s">
        <v>2164</v>
      </c>
      <c r="C9" s="1" t="s">
        <v>2159</v>
      </c>
      <c r="D9" s="5" t="s">
        <v>2163</v>
      </c>
      <c r="E9" s="1" t="s">
        <v>2162</v>
      </c>
      <c r="F9" s="1" t="s">
        <v>2161</v>
      </c>
      <c r="G9" s="10"/>
      <c r="H9" s="10" t="str">
        <f>IF(Q9&lt;100000,"1.마이크로-10만명 미만","2.메가-10만명 이상")</f>
        <v>2.메가-10만명 이상</v>
      </c>
      <c r="I9" s="10" t="str">
        <f ca="1">IFERROR(__xludf.DUMMYFUNCTION("iferror(REGEXEXTRACT(E9,""[a-zA-Z0-9._%+-]+@[a-zA-Z0-9.-]+\.[a-zA-Z]{2,}""),""2.이메일 없음"")"),"teamestelle@hgmedia.us")</f>
        <v>teamestelle@hgmedia.us</v>
      </c>
      <c r="J9" s="10">
        <f>IFERROR((S9+T9+U9)/V9,"")</f>
        <v>6.6986301369863013E-2</v>
      </c>
      <c r="K9" s="9">
        <f>IFERROR(U9/V9,"")</f>
        <v>9.1324200913242006E-4</v>
      </c>
      <c r="L9" s="8">
        <f>IFERROR(MIN(Q9/1000*1.5, 150),"")</f>
        <v>150</v>
      </c>
      <c r="M9" s="7">
        <f>IFERROR(V9/Q9,"")</f>
        <v>3.8767923526287836E-2</v>
      </c>
      <c r="N9" s="6">
        <f>IFERROR((S9+U9)/Q9,"")</f>
        <v>2.5385023898035052E-3</v>
      </c>
      <c r="O9" s="6">
        <f>IFERROR(100/(L9+1),"")</f>
        <v>0.66225165562913912</v>
      </c>
      <c r="P9" s="5" t="s">
        <v>2160</v>
      </c>
      <c r="Q9" s="4">
        <v>564900</v>
      </c>
      <c r="R9" s="4">
        <v>1998</v>
      </c>
      <c r="S9" s="4">
        <v>1414</v>
      </c>
      <c r="T9" s="4">
        <v>33</v>
      </c>
      <c r="U9" s="4">
        <v>20</v>
      </c>
      <c r="V9" s="4">
        <v>21900</v>
      </c>
      <c r="W9" s="4">
        <v>35</v>
      </c>
      <c r="X9" s="1" t="s">
        <v>23</v>
      </c>
      <c r="Y9" s="1" t="s">
        <v>2159</v>
      </c>
      <c r="Z9" s="3">
        <v>45882.177731481483</v>
      </c>
      <c r="AA9" s="2" t="s">
        <v>2158</v>
      </c>
      <c r="AB9" s="1" t="s">
        <v>2157</v>
      </c>
    </row>
    <row r="10" spans="1:28">
      <c r="A10" s="4">
        <v>8</v>
      </c>
      <c r="B10" s="1" t="s">
        <v>2156</v>
      </c>
      <c r="C10" s="1" t="s">
        <v>2151</v>
      </c>
      <c r="D10" s="5" t="s">
        <v>2155</v>
      </c>
      <c r="E10" s="1" t="s">
        <v>2154</v>
      </c>
      <c r="F10" s="1" t="s">
        <v>2153</v>
      </c>
      <c r="G10" s="10"/>
      <c r="H10" s="10" t="str">
        <f>IF(Q10&lt;100000,"1.마이크로-10만명 미만","2.메가-10만명 이상")</f>
        <v>2.메가-10만명 이상</v>
      </c>
      <c r="I10" s="10" t="str">
        <f ca="1">IFERROR(__xludf.DUMMYFUNCTION("iferror(REGEXEXTRACT(E10,""[a-zA-Z0-9._%+-]+@[a-zA-Z0-9.-]+\.[a-zA-Z]{2,}""),""2.이메일 없음"")"),"kirby@undercurrent.net")</f>
        <v>kirby@undercurrent.net</v>
      </c>
      <c r="J10" s="10">
        <f>IFERROR((S10+T10+U10)/V10,"")</f>
        <v>0.11173553719008264</v>
      </c>
      <c r="K10" s="9">
        <f>IFERROR(U10/V10,"")</f>
        <v>7.9338842975206609E-4</v>
      </c>
      <c r="L10" s="8">
        <f>IFERROR(MIN(Q10/1000*1.5, 150),"")</f>
        <v>150</v>
      </c>
      <c r="M10" s="7">
        <f>IFERROR(V10/Q10,"")</f>
        <v>1.6805555555555556E-2</v>
      </c>
      <c r="N10" s="6">
        <f>IFERROR((S10+U10)/Q10,"")</f>
        <v>1.8755555555555557E-3</v>
      </c>
      <c r="O10" s="6">
        <f>IFERROR(100/(L10+1),"")</f>
        <v>0.66225165562913912</v>
      </c>
      <c r="P10" s="5" t="s">
        <v>2152</v>
      </c>
      <c r="Q10" s="4">
        <v>3600000</v>
      </c>
      <c r="R10" s="4">
        <v>1914</v>
      </c>
      <c r="S10" s="4">
        <v>6704</v>
      </c>
      <c r="T10" s="4">
        <v>8</v>
      </c>
      <c r="U10" s="4">
        <v>48</v>
      </c>
      <c r="V10" s="4">
        <v>60500</v>
      </c>
      <c r="W10" s="4">
        <v>48</v>
      </c>
      <c r="X10" s="1" t="s">
        <v>23</v>
      </c>
      <c r="Y10" s="1" t="s">
        <v>2151</v>
      </c>
      <c r="Z10" s="3">
        <v>45909.055972222224</v>
      </c>
      <c r="AA10" s="2" t="s">
        <v>2150</v>
      </c>
      <c r="AB10" s="1" t="s">
        <v>2149</v>
      </c>
    </row>
    <row r="11" spans="1:28">
      <c r="A11" s="4">
        <v>9</v>
      </c>
      <c r="B11" s="1" t="s">
        <v>2148</v>
      </c>
      <c r="C11" s="1" t="s">
        <v>2143</v>
      </c>
      <c r="D11" s="5" t="s">
        <v>2147</v>
      </c>
      <c r="E11" s="1" t="s">
        <v>2146</v>
      </c>
      <c r="F11" s="1" t="s">
        <v>2145</v>
      </c>
      <c r="G11" s="10"/>
      <c r="H11" s="10" t="str">
        <f>IF(Q11&lt;100000,"1.마이크로-10만명 미만","2.메가-10만명 이상")</f>
        <v>1.마이크로-10만명 미만</v>
      </c>
      <c r="I11" s="10" t="str">
        <f ca="1">IFERROR(__xludf.DUMMYFUNCTION("iferror(REGEXEXTRACT(E11,""[a-zA-Z0-9._%+-]+@[a-zA-Z0-9.-]+\.[a-zA-Z]{2,}""),""2.이메일 없음"")"),"hello@thenudefox.com")</f>
        <v>hello@thenudefox.com</v>
      </c>
      <c r="J11" s="10">
        <f>IFERROR((S11+T11+U11)/V11,"")</f>
        <v>3.860235393022278E-2</v>
      </c>
      <c r="K11" s="9">
        <f>IFERROR(U11/V11,"")</f>
        <v>3.6149642707019756E-4</v>
      </c>
      <c r="L11" s="8">
        <f>IFERROR(MIN(Q11/1000*1.5, 150),"")</f>
        <v>21.9</v>
      </c>
      <c r="M11" s="7">
        <f>IFERROR(V11/Q11,"")</f>
        <v>32.589041095890408</v>
      </c>
      <c r="N11" s="6">
        <f>IFERROR((S11+U11)/Q11,"")</f>
        <v>1.046027397260274</v>
      </c>
      <c r="O11" s="6">
        <f>IFERROR(100/(L11+1),"")</f>
        <v>4.3668122270742362</v>
      </c>
      <c r="P11" s="5" t="s">
        <v>2144</v>
      </c>
      <c r="Q11" s="4">
        <v>14600</v>
      </c>
      <c r="R11" s="4">
        <v>293</v>
      </c>
      <c r="S11" s="4">
        <v>15100</v>
      </c>
      <c r="T11" s="4">
        <v>3095</v>
      </c>
      <c r="U11" s="4">
        <v>172</v>
      </c>
      <c r="V11" s="4">
        <v>475800</v>
      </c>
      <c r="W11" s="4">
        <v>68</v>
      </c>
      <c r="X11" s="1" t="s">
        <v>23</v>
      </c>
      <c r="Y11" s="1" t="s">
        <v>2143</v>
      </c>
      <c r="Z11" s="3">
        <v>45813.15896990741</v>
      </c>
      <c r="AA11" s="2" t="s">
        <v>2142</v>
      </c>
      <c r="AB11" s="1" t="s">
        <v>2141</v>
      </c>
    </row>
    <row r="12" spans="1:28">
      <c r="A12" s="4">
        <v>10</v>
      </c>
      <c r="B12" s="1" t="s">
        <v>2140</v>
      </c>
      <c r="C12" s="1" t="s">
        <v>2139</v>
      </c>
      <c r="D12" s="5" t="s">
        <v>2138</v>
      </c>
      <c r="E12" s="1" t="s">
        <v>2137</v>
      </c>
      <c r="F12" s="1" t="s">
        <v>2136</v>
      </c>
      <c r="G12" s="10"/>
      <c r="H12" s="10" t="str">
        <f>IF(Q12&lt;100000,"1.마이크로-10만명 미만","2.메가-10만명 이상")</f>
        <v>2.메가-10만명 이상</v>
      </c>
      <c r="I12" s="10" t="str">
        <f ca="1">IFERROR(__xludf.DUMMYFUNCTION("iferror(REGEXEXTRACT(E12,""[a-zA-Z0-9._%+-]+@[a-zA-Z0-9.-]+\.[a-zA-Z]{2,}""),""2.이메일 없음"")"),"brooke@friendsinreality.com")</f>
        <v>brooke@friendsinreality.com</v>
      </c>
      <c r="J12" s="10">
        <f>IFERROR((S12+T12+U12)/V12,"")</f>
        <v>5.367926542814435E-2</v>
      </c>
      <c r="K12" s="9">
        <f>IFERROR(U12/V12,"")</f>
        <v>5.1035660901131751E-4</v>
      </c>
      <c r="L12" s="8">
        <f>IFERROR(MIN(Q12/1000*1.5, 150),"")</f>
        <v>150</v>
      </c>
      <c r="M12" s="7">
        <f>IFERROR(V12/Q12,"")</f>
        <v>3.9352941176470591E-2</v>
      </c>
      <c r="N12" s="6">
        <f>IFERROR((S12+U12)/Q12,"")</f>
        <v>2.0957142857142858E-3</v>
      </c>
      <c r="O12" s="6">
        <f>IFERROR(100/(L12+1),"")</f>
        <v>0.66225165562913912</v>
      </c>
      <c r="P12" s="5" t="s">
        <v>2135</v>
      </c>
      <c r="Q12" s="4">
        <v>11900000</v>
      </c>
      <c r="R12" s="4">
        <v>6468</v>
      </c>
      <c r="S12" s="4">
        <v>24700</v>
      </c>
      <c r="T12" s="4">
        <v>199</v>
      </c>
      <c r="U12" s="4">
        <v>239</v>
      </c>
      <c r="V12" s="4">
        <v>468300</v>
      </c>
      <c r="W12" s="4">
        <v>11</v>
      </c>
      <c r="X12" s="1" t="s">
        <v>2134</v>
      </c>
      <c r="Y12" s="1" t="s">
        <v>2133</v>
      </c>
      <c r="Z12" s="3">
        <v>45880.41609953704</v>
      </c>
      <c r="AA12" s="2" t="s">
        <v>2132</v>
      </c>
      <c r="AB12" s="1" t="s">
        <v>2131</v>
      </c>
    </row>
    <row r="13" spans="1:28">
      <c r="A13" s="4">
        <v>11</v>
      </c>
      <c r="B13" s="1" t="s">
        <v>432</v>
      </c>
      <c r="C13" s="1" t="s">
        <v>432</v>
      </c>
      <c r="D13" s="5" t="s">
        <v>436</v>
      </c>
      <c r="E13" s="1" t="s">
        <v>435</v>
      </c>
      <c r="F13" s="1" t="s">
        <v>2130</v>
      </c>
      <c r="G13" s="10"/>
      <c r="H13" s="10" t="str">
        <f>IF(Q13&lt;100000,"1.마이크로-10만명 미만","2.메가-10만명 이상")</f>
        <v>2.메가-10만명 이상</v>
      </c>
      <c r="I13" s="10" t="str">
        <f ca="1">IFERROR(__xludf.DUMMYFUNCTION("iferror(REGEXEXTRACT(E13,""[a-zA-Z0-9._%+-]+@[a-zA-Z0-9.-]+\.[a-zA-Z]{2,}""),""2.이메일 없음"")"),"shelby.marra@thedigitalbrandarchitects.com")</f>
        <v>shelby.marra@thedigitalbrandarchitects.com</v>
      </c>
      <c r="J13" s="10">
        <f>IFERROR((S13+T13+U13)/V13,"")</f>
        <v>0.1328909032049207</v>
      </c>
      <c r="K13" s="9">
        <f>IFERROR(U13/V13,"")</f>
        <v>3.2372936225315637E-3</v>
      </c>
      <c r="L13" s="8">
        <f>IFERROR(MIN(Q13/1000*1.5, 150),"")</f>
        <v>150</v>
      </c>
      <c r="M13" s="7">
        <f>IFERROR(V13/Q13,"")</f>
        <v>2.6698357821953327E-2</v>
      </c>
      <c r="N13" s="6">
        <f>IFERROR((S13+U13)/Q13,"")</f>
        <v>3.5177182368193605E-3</v>
      </c>
      <c r="O13" s="6">
        <f>IFERROR(100/(L13+1),"")</f>
        <v>0.66225165562913912</v>
      </c>
      <c r="P13" s="5" t="s">
        <v>2129</v>
      </c>
      <c r="Q13" s="4">
        <v>231400</v>
      </c>
      <c r="R13" s="4">
        <v>1148</v>
      </c>
      <c r="S13" s="4">
        <v>794</v>
      </c>
      <c r="T13" s="4">
        <v>7</v>
      </c>
      <c r="U13" s="4">
        <v>20</v>
      </c>
      <c r="V13" s="4">
        <v>6178</v>
      </c>
      <c r="W13" s="4">
        <v>25</v>
      </c>
      <c r="X13" s="1" t="s">
        <v>2128</v>
      </c>
      <c r="Y13" s="1" t="s">
        <v>1471</v>
      </c>
      <c r="Z13" s="3">
        <v>45905.087905092594</v>
      </c>
      <c r="AA13" s="2" t="s">
        <v>2127</v>
      </c>
      <c r="AB13" s="1" t="s">
        <v>430</v>
      </c>
    </row>
    <row r="14" spans="1:28">
      <c r="A14" s="4">
        <v>12</v>
      </c>
      <c r="B14" s="1" t="s">
        <v>2126</v>
      </c>
      <c r="C14" s="1" t="s">
        <v>2125</v>
      </c>
      <c r="D14" s="5" t="s">
        <v>2124</v>
      </c>
      <c r="E14" s="1" t="s">
        <v>2123</v>
      </c>
      <c r="F14" s="1" t="s">
        <v>2122</v>
      </c>
      <c r="G14" s="10"/>
      <c r="H14" s="10" t="str">
        <f>IF(Q14&lt;100000,"1.마이크로-10만명 미만","2.메가-10만명 이상")</f>
        <v>1.마이크로-10만명 미만</v>
      </c>
      <c r="I14" s="10" t="str">
        <f ca="1">IFERROR(__xludf.DUMMYFUNCTION("iferror(REGEXEXTRACT(E14,""[a-zA-Z0-9._%+-]+@[a-zA-Z0-9.-]+\.[a-zA-Z]{2,}""),""2.이메일 없음"")"),"taylorjoypaul@gmail.com")</f>
        <v>taylorjoypaul@gmail.com</v>
      </c>
      <c r="J14" s="10">
        <f>IFERROR((S14+T14+U14)/V14,"")</f>
        <v>3.9683496608892241E-2</v>
      </c>
      <c r="K14" s="9">
        <f>IFERROR(U14/V14,"")</f>
        <v>2.9389600602863601E-4</v>
      </c>
      <c r="L14" s="8">
        <f>IFERROR(MIN(Q14/1000*1.5, 150),"")</f>
        <v>148.5</v>
      </c>
      <c r="M14" s="7">
        <f>IFERROR(V14/Q14,"")</f>
        <v>1.3404040404040405</v>
      </c>
      <c r="N14" s="6">
        <f>IFERROR((S14+U14)/Q14,"")</f>
        <v>5.12020202020202E-2</v>
      </c>
      <c r="O14" s="6">
        <f>IFERROR(100/(L14+1),"")</f>
        <v>0.66889632107023411</v>
      </c>
      <c r="P14" s="5" t="s">
        <v>2121</v>
      </c>
      <c r="Q14" s="4">
        <v>99000</v>
      </c>
      <c r="R14" s="4">
        <v>854</v>
      </c>
      <c r="S14" s="4">
        <v>5030</v>
      </c>
      <c r="T14" s="4">
        <v>197</v>
      </c>
      <c r="U14" s="4">
        <v>39</v>
      </c>
      <c r="V14" s="4">
        <v>132700</v>
      </c>
      <c r="W14" s="4">
        <v>10</v>
      </c>
      <c r="X14" s="1" t="s">
        <v>1316</v>
      </c>
      <c r="Y14" s="1" t="s">
        <v>1315</v>
      </c>
      <c r="Z14" s="3">
        <v>45894.260648148149</v>
      </c>
      <c r="AA14" s="2" t="s">
        <v>2120</v>
      </c>
      <c r="AB14" s="1" t="s">
        <v>2119</v>
      </c>
    </row>
    <row r="15" spans="1:28">
      <c r="A15" s="4">
        <v>13</v>
      </c>
      <c r="B15" s="1" t="s">
        <v>2118</v>
      </c>
      <c r="C15" s="1" t="s">
        <v>2113</v>
      </c>
      <c r="D15" s="5" t="s">
        <v>2117</v>
      </c>
      <c r="E15" s="1" t="s">
        <v>2116</v>
      </c>
      <c r="F15" s="1" t="s">
        <v>2115</v>
      </c>
      <c r="G15" s="10"/>
      <c r="H15" s="10" t="str">
        <f>IF(Q15&lt;100000,"1.마이크로-10만명 미만","2.메가-10만명 이상")</f>
        <v>2.메가-10만명 이상</v>
      </c>
      <c r="I15" s="10" t="str">
        <f ca="1">IFERROR(__xludf.DUMMYFUNCTION("iferror(REGEXEXTRACT(E15,""[a-zA-Z0-9._%+-]+@[a-zA-Z0-9.-]+\.[a-zA-Z]{2,}""),""2.이메일 없음"")"),"2.이메일 없음")</f>
        <v>2.이메일 없음</v>
      </c>
      <c r="J15" s="10">
        <f>IFERROR((S15+T15+U15)/V15,"")</f>
        <v>0.21049799999999999</v>
      </c>
      <c r="K15" s="9">
        <f>IFERROR(U15/V15,"")</f>
        <v>2.6499999999999999E-4</v>
      </c>
      <c r="L15" s="8">
        <f>IFERROR(MIN(Q15/1000*1.5, 150),"")</f>
        <v>150</v>
      </c>
      <c r="M15" s="7">
        <f>IFERROR(V15/Q15,"")</f>
        <v>0.86956521739130432</v>
      </c>
      <c r="N15" s="6">
        <f>IFERROR((S15+U15)/Q15,"")</f>
        <v>0.17923043478260869</v>
      </c>
      <c r="O15" s="6">
        <f>IFERROR(100/(L15+1),"")</f>
        <v>0.66225165562913912</v>
      </c>
      <c r="P15" s="5" t="s">
        <v>2114</v>
      </c>
      <c r="Q15" s="4">
        <v>2300000</v>
      </c>
      <c r="R15" s="4">
        <v>3435</v>
      </c>
      <c r="S15" s="4">
        <v>411700</v>
      </c>
      <c r="T15" s="4">
        <v>8766</v>
      </c>
      <c r="U15" s="4">
        <v>530</v>
      </c>
      <c r="V15" s="4">
        <v>2000000</v>
      </c>
      <c r="W15" s="4">
        <v>124</v>
      </c>
      <c r="X15" s="1" t="s">
        <v>23</v>
      </c>
      <c r="Y15" s="1" t="s">
        <v>2113</v>
      </c>
      <c r="Z15" s="3">
        <v>45409.220555555556</v>
      </c>
      <c r="AA15" s="2" t="s">
        <v>2112</v>
      </c>
      <c r="AB15" s="1" t="s">
        <v>2111</v>
      </c>
    </row>
    <row r="16" spans="1:28">
      <c r="A16" s="4">
        <v>14</v>
      </c>
      <c r="B16" s="1" t="s">
        <v>2110</v>
      </c>
      <c r="C16" s="1" t="s">
        <v>2109</v>
      </c>
      <c r="D16" s="5" t="s">
        <v>2108</v>
      </c>
      <c r="E16" s="1" t="s">
        <v>2107</v>
      </c>
      <c r="F16" s="1" t="s">
        <v>2106</v>
      </c>
      <c r="G16" s="10"/>
      <c r="H16" s="10" t="str">
        <f>IF(Q16&lt;100000,"1.마이크로-10만명 미만","2.메가-10만명 이상")</f>
        <v>1.마이크로-10만명 미만</v>
      </c>
      <c r="I16" s="10" t="str">
        <f ca="1">IFERROR(__xludf.DUMMYFUNCTION("iferror(REGEXEXTRACT(E16,""[a-zA-Z0-9._%+-]+@[a-zA-Z0-9.-]+\.[a-zA-Z]{2,}""),""2.이메일 없음"")"),"2.이메일 없음")</f>
        <v>2.이메일 없음</v>
      </c>
      <c r="J16" s="10">
        <f>IFERROR((S16+T16+U16)/V16,"")</f>
        <v>6.1608623548922055E-2</v>
      </c>
      <c r="K16" s="9">
        <f>IFERROR(U16/V16,"")</f>
        <v>3.4825870646766171E-4</v>
      </c>
      <c r="L16" s="8">
        <f>IFERROR(MIN(Q16/1000*1.5, 150),"")</f>
        <v>2.2305000000000001</v>
      </c>
      <c r="M16" s="7">
        <f>IFERROR(V16/Q16,"")</f>
        <v>40.551445864156015</v>
      </c>
      <c r="N16" s="6">
        <f>IFERROR((S16+U16)/Q16,"")</f>
        <v>2.3853396099529252</v>
      </c>
      <c r="O16" s="6">
        <f>IFERROR(100/(L16+1),"")</f>
        <v>30.954960532425321</v>
      </c>
      <c r="P16" s="5" t="s">
        <v>2105</v>
      </c>
      <c r="Q16" s="4">
        <v>1487</v>
      </c>
      <c r="R16" s="4">
        <v>693</v>
      </c>
      <c r="S16" s="4">
        <v>3526</v>
      </c>
      <c r="T16" s="4">
        <v>168</v>
      </c>
      <c r="U16" s="4">
        <v>21</v>
      </c>
      <c r="V16" s="4">
        <v>60300</v>
      </c>
      <c r="W16" s="4">
        <v>5</v>
      </c>
      <c r="X16" s="1" t="s">
        <v>23</v>
      </c>
      <c r="Y16" s="1" t="s">
        <v>2104</v>
      </c>
      <c r="Z16" s="3">
        <v>45885.020381944443</v>
      </c>
      <c r="AA16" s="2" t="s">
        <v>2103</v>
      </c>
      <c r="AB16" s="1" t="s">
        <v>2102</v>
      </c>
    </row>
    <row r="17" spans="1:28">
      <c r="A17" s="4">
        <v>15</v>
      </c>
      <c r="B17" s="1" t="s">
        <v>2101</v>
      </c>
      <c r="C17" s="1" t="s">
        <v>2100</v>
      </c>
      <c r="D17" s="5" t="s">
        <v>2099</v>
      </c>
      <c r="E17" s="1" t="s">
        <v>2098</v>
      </c>
      <c r="F17" s="1" t="s">
        <v>2097</v>
      </c>
      <c r="G17" s="10"/>
      <c r="H17" s="10" t="str">
        <f>IF(Q17&lt;100000,"1.마이크로-10만명 미만","2.메가-10만명 이상")</f>
        <v>1.마이크로-10만명 미만</v>
      </c>
      <c r="I17" s="10" t="str">
        <f ca="1">IFERROR(__xludf.DUMMYFUNCTION("iferror(REGEXEXTRACT(E17,""[a-zA-Z0-9._%+-]+@[a-zA-Z0-9.-]+\.[a-zA-Z]{2,}""),""2.이메일 없음"")"),"kaitlynedejer@yahoo.com")</f>
        <v>kaitlynedejer@yahoo.com</v>
      </c>
      <c r="J17" s="10">
        <f>IFERROR((S17+T17+U17)/V17,"")</f>
        <v>6.8030690537084396E-2</v>
      </c>
      <c r="K17" s="9">
        <f>IFERROR(U17/V17,"")</f>
        <v>4.6035805626598461E-3</v>
      </c>
      <c r="L17" s="8">
        <f>IFERROR(MIN(Q17/1000*1.5, 150),"")</f>
        <v>36.75</v>
      </c>
      <c r="M17" s="7">
        <f>IFERROR(V17/Q17,"")</f>
        <v>7.9795918367346938E-2</v>
      </c>
      <c r="N17" s="6">
        <f>IFERROR((S17+U17)/Q17,"")</f>
        <v>5.3469387755102037E-3</v>
      </c>
      <c r="O17" s="6">
        <f>IFERROR(100/(L17+1),"")</f>
        <v>2.6490066225165565</v>
      </c>
      <c r="P17" s="5" t="s">
        <v>2096</v>
      </c>
      <c r="Q17" s="4">
        <v>24500</v>
      </c>
      <c r="R17" s="4">
        <v>2016</v>
      </c>
      <c r="S17" s="4">
        <v>122</v>
      </c>
      <c r="T17" s="4">
        <v>2</v>
      </c>
      <c r="U17" s="4">
        <v>9</v>
      </c>
      <c r="V17" s="4">
        <v>1955</v>
      </c>
      <c r="W17" s="4">
        <v>12</v>
      </c>
      <c r="X17" s="1" t="s">
        <v>1316</v>
      </c>
      <c r="Y17" s="1" t="s">
        <v>1315</v>
      </c>
      <c r="Z17" s="3">
        <v>45905.1877662037</v>
      </c>
      <c r="AA17" s="2" t="s">
        <v>2095</v>
      </c>
      <c r="AB17" s="1" t="s">
        <v>2094</v>
      </c>
    </row>
    <row r="18" spans="1:28">
      <c r="A18" s="4">
        <v>16</v>
      </c>
      <c r="B18" s="1" t="s">
        <v>2093</v>
      </c>
      <c r="C18" s="1" t="s">
        <v>2092</v>
      </c>
      <c r="D18" s="5" t="s">
        <v>2091</v>
      </c>
      <c r="E18" s="14" t="s">
        <v>2090</v>
      </c>
      <c r="F18" s="1" t="s">
        <v>2089</v>
      </c>
      <c r="G18" s="10"/>
      <c r="H18" s="10" t="str">
        <f>IF(Q18&lt;100000,"1.마이크로-10만명 미만","2.메가-10만명 이상")</f>
        <v>1.마이크로-10만명 미만</v>
      </c>
      <c r="I18" s="10" t="str">
        <f ca="1">IFERROR(__xludf.DUMMYFUNCTION("iferror(REGEXEXTRACT(E18,""[a-zA-Z0-9._%+-]+@[a-zA-Z0-9.-]+\.[a-zA-Z]{2,}""),""2.이메일 없음"")"),"erikarachelmayo24@gmail.com")</f>
        <v>erikarachelmayo24@gmail.com</v>
      </c>
      <c r="J18" s="10">
        <f>IFERROR((S18+T18+U18)/V18,"")</f>
        <v>4.2593023255813954E-2</v>
      </c>
      <c r="K18" s="9">
        <f>IFERROR(U18/V18,"")</f>
        <v>3.9534883720930233E-4</v>
      </c>
      <c r="L18" s="8">
        <f>IFERROR(MIN(Q18/1000*1.5, 150),"")</f>
        <v>69.300000000000011</v>
      </c>
      <c r="M18" s="7">
        <f>IFERROR(V18/Q18,"")</f>
        <v>1.8614718614718615</v>
      </c>
      <c r="N18" s="6">
        <f>IFERROR((S18+U18)/Q18,"")</f>
        <v>7.5930735930735932E-2</v>
      </c>
      <c r="O18" s="6">
        <f>IFERROR(100/(L18+1),"")</f>
        <v>1.4224751066856327</v>
      </c>
      <c r="P18" s="5" t="s">
        <v>2088</v>
      </c>
      <c r="Q18" s="4">
        <v>46200</v>
      </c>
      <c r="R18" s="4">
        <v>518</v>
      </c>
      <c r="S18" s="4">
        <v>3474</v>
      </c>
      <c r="T18" s="4">
        <v>155</v>
      </c>
      <c r="U18" s="4">
        <v>34</v>
      </c>
      <c r="V18" s="4">
        <v>86000</v>
      </c>
      <c r="W18" s="4">
        <v>12</v>
      </c>
      <c r="X18" s="1" t="s">
        <v>23</v>
      </c>
      <c r="Y18" s="1" t="s">
        <v>2087</v>
      </c>
      <c r="Z18" s="3">
        <v>45883.993136574078</v>
      </c>
      <c r="AA18" s="2" t="s">
        <v>2086</v>
      </c>
      <c r="AB18" s="1" t="s">
        <v>2085</v>
      </c>
    </row>
    <row r="19" spans="1:28">
      <c r="A19" s="4">
        <v>17</v>
      </c>
      <c r="B19" s="1" t="s">
        <v>1501</v>
      </c>
      <c r="C19" s="1" t="s">
        <v>1496</v>
      </c>
      <c r="D19" s="5" t="s">
        <v>1500</v>
      </c>
      <c r="E19" s="1" t="s">
        <v>1499</v>
      </c>
      <c r="F19" s="1" t="s">
        <v>2084</v>
      </c>
      <c r="G19" s="10"/>
      <c r="H19" s="10" t="str">
        <f>IF(Q19&lt;100000,"1.마이크로-10만명 미만","2.메가-10만명 이상")</f>
        <v>1.마이크로-10만명 미만</v>
      </c>
      <c r="I19" s="10" t="str">
        <f ca="1">IFERROR(__xludf.DUMMYFUNCTION("iferror(REGEXEXTRACT(E19,""[a-zA-Z0-9._%+-]+@[a-zA-Z0-9.-]+\.[a-zA-Z]{2,}""),""2.이메일 없음"")"),"alissaandrea.n@gmail.com")</f>
        <v>alissaandrea.n@gmail.com</v>
      </c>
      <c r="J19" s="10">
        <f>IFERROR((S19+T19+U19)/V19,"")</f>
        <v>4.3647105948327658E-2</v>
      </c>
      <c r="K19" s="9">
        <f>IFERROR(U19/V19,"")</f>
        <v>1.7824954936911677E-4</v>
      </c>
      <c r="L19" s="8">
        <f>IFERROR(MIN(Q19/1000*1.5, 150),"")</f>
        <v>6.2654999999999994</v>
      </c>
      <c r="M19" s="7">
        <f>IFERROR(V19/Q19,"")</f>
        <v>119.53555183145798</v>
      </c>
      <c r="N19" s="6">
        <f>IFERROR((S19+U19)/Q19,"")</f>
        <v>4.9051951161120417</v>
      </c>
      <c r="O19" s="6">
        <f>IFERROR(100/(L19+1),"")</f>
        <v>13.763677654669328</v>
      </c>
      <c r="P19" s="5" t="s">
        <v>2083</v>
      </c>
      <c r="Q19" s="4">
        <v>4177</v>
      </c>
      <c r="R19" s="4">
        <v>198</v>
      </c>
      <c r="S19" s="4">
        <v>20400</v>
      </c>
      <c r="T19" s="4">
        <v>1304</v>
      </c>
      <c r="U19" s="4">
        <v>89</v>
      </c>
      <c r="V19" s="4">
        <v>499300</v>
      </c>
      <c r="W19" s="4">
        <v>88</v>
      </c>
      <c r="X19" s="1" t="s">
        <v>23</v>
      </c>
      <c r="Y19" s="1" t="s">
        <v>1496</v>
      </c>
      <c r="Z19" s="3">
        <v>45848.193240740744</v>
      </c>
      <c r="AA19" s="2" t="s">
        <v>2082</v>
      </c>
      <c r="AB19" s="1" t="s">
        <v>1494</v>
      </c>
    </row>
    <row r="20" spans="1:28">
      <c r="A20" s="4">
        <v>18</v>
      </c>
      <c r="B20" s="1" t="s">
        <v>2081</v>
      </c>
      <c r="C20" s="1" t="s">
        <v>2076</v>
      </c>
      <c r="D20" s="5" t="s">
        <v>2080</v>
      </c>
      <c r="E20" s="1" t="s">
        <v>2079</v>
      </c>
      <c r="F20" s="1" t="s">
        <v>2078</v>
      </c>
      <c r="G20" s="10"/>
      <c r="H20" s="10" t="str">
        <f>IF(Q20&lt;100000,"1.마이크로-10만명 미만","2.메가-10만명 이상")</f>
        <v>2.메가-10만명 이상</v>
      </c>
      <c r="I20" s="10" t="str">
        <f ca="1">IFERROR(__xludf.DUMMYFUNCTION("iferror(REGEXEXTRACT(E20,""[a-zA-Z0-9._%+-]+@[a-zA-Z0-9.-]+\.[a-zA-Z]{2,}""),""2.이메일 없음"")"),"paulinareitman@palettemgmt.com")</f>
        <v>paulinareitman@palettemgmt.com</v>
      </c>
      <c r="J20" s="10">
        <f>IFERROR((S20+T20+U20)/V20,"")</f>
        <v>5.7892215568862274E-2</v>
      </c>
      <c r="K20" s="9">
        <f>IFERROR(U20/V20,"")</f>
        <v>6.826347305389221E-4</v>
      </c>
      <c r="L20" s="8">
        <f>IFERROR(MIN(Q20/1000*1.5, 150),"")</f>
        <v>150</v>
      </c>
      <c r="M20" s="7">
        <f>IFERROR(V20/Q20,"")</f>
        <v>0.59472934472934469</v>
      </c>
      <c r="N20" s="6">
        <f>IFERROR((S20+U20)/Q20,"")</f>
        <v>3.1474358974358976E-2</v>
      </c>
      <c r="O20" s="6">
        <f>IFERROR(100/(L20+1),"")</f>
        <v>0.66225165562913912</v>
      </c>
      <c r="P20" s="5" t="s">
        <v>2077</v>
      </c>
      <c r="Q20" s="4">
        <v>140400</v>
      </c>
      <c r="R20" s="4">
        <v>975</v>
      </c>
      <c r="S20" s="4">
        <v>4362</v>
      </c>
      <c r="T20" s="4">
        <v>415</v>
      </c>
      <c r="U20" s="4">
        <v>57</v>
      </c>
      <c r="V20" s="4">
        <v>83500</v>
      </c>
      <c r="W20" s="4">
        <v>66</v>
      </c>
      <c r="X20" s="1" t="s">
        <v>23</v>
      </c>
      <c r="Y20" s="1" t="s">
        <v>2076</v>
      </c>
      <c r="Z20" s="3">
        <v>45846.243368055555</v>
      </c>
      <c r="AA20" s="2" t="s">
        <v>2075</v>
      </c>
      <c r="AB20" s="1" t="s">
        <v>2074</v>
      </c>
    </row>
    <row r="21" spans="1:28">
      <c r="A21" s="4">
        <v>19</v>
      </c>
      <c r="B21" s="1" t="s">
        <v>1633</v>
      </c>
      <c r="C21" s="1" t="s">
        <v>1633</v>
      </c>
      <c r="D21" s="5" t="s">
        <v>1637</v>
      </c>
      <c r="E21" s="1" t="s">
        <v>1636</v>
      </c>
      <c r="F21" s="1" t="s">
        <v>2073</v>
      </c>
      <c r="G21" s="10"/>
      <c r="H21" s="10" t="str">
        <f>IF(Q21&lt;100000,"1.마이크로-10만명 미만","2.메가-10만명 이상")</f>
        <v>2.메가-10만명 이상</v>
      </c>
      <c r="I21" s="10" t="str">
        <f ca="1">IFERROR(__xludf.DUMMYFUNCTION("iferror(REGEXEXTRACT(E21,""[a-zA-Z0-9._%+-]+@[a-zA-Z0-9.-]+\.[a-zA-Z]{2,}""),""2.이메일 없음"")"),"manana@lulucreativemedia.com")</f>
        <v>manana@lulucreativemedia.com</v>
      </c>
      <c r="J21" s="10">
        <f>IFERROR((S21+T21+U21)/V21,"")</f>
        <v>4.3172966781214205E-2</v>
      </c>
      <c r="K21" s="9">
        <f>IFERROR(U21/V21,"")</f>
        <v>1.8963981163293877E-4</v>
      </c>
      <c r="L21" s="8">
        <f>IFERROR(MIN(Q21/1000*1.5, 150),"")</f>
        <v>150</v>
      </c>
      <c r="M21" s="7">
        <f>IFERROR(V21/Q21,"")</f>
        <v>1.3108108108108107</v>
      </c>
      <c r="N21" s="6">
        <f>IFERROR((S21+U21)/Q21,"")</f>
        <v>5.0965965965965969E-2</v>
      </c>
      <c r="O21" s="6">
        <f>IFERROR(100/(L21+1),"")</f>
        <v>0.66225165562913912</v>
      </c>
      <c r="P21" s="5" t="s">
        <v>2072</v>
      </c>
      <c r="Q21" s="4">
        <v>599400</v>
      </c>
      <c r="R21" s="4">
        <v>2229</v>
      </c>
      <c r="S21" s="4">
        <v>30400</v>
      </c>
      <c r="T21" s="4">
        <v>3372</v>
      </c>
      <c r="U21" s="4">
        <v>149</v>
      </c>
      <c r="V21" s="4">
        <v>785700</v>
      </c>
      <c r="W21" s="4">
        <v>90</v>
      </c>
      <c r="X21" s="1" t="s">
        <v>23</v>
      </c>
      <c r="Y21" s="1" t="s">
        <v>1633</v>
      </c>
      <c r="Z21" s="3">
        <v>45405.045937499999</v>
      </c>
      <c r="AA21" s="2" t="s">
        <v>2071</v>
      </c>
      <c r="AB21" s="1" t="s">
        <v>1631</v>
      </c>
    </row>
    <row r="22" spans="1:28">
      <c r="A22" s="4">
        <v>20</v>
      </c>
      <c r="B22" s="1" t="s">
        <v>2070</v>
      </c>
      <c r="C22" s="1" t="s">
        <v>2065</v>
      </c>
      <c r="D22" s="5" t="s">
        <v>2069</v>
      </c>
      <c r="E22" s="1" t="s">
        <v>2068</v>
      </c>
      <c r="F22" s="1" t="s">
        <v>2067</v>
      </c>
      <c r="G22" s="10"/>
      <c r="H22" s="10" t="str">
        <f>IF(Q22&lt;100000,"1.마이크로-10만명 미만","2.메가-10만명 이상")</f>
        <v>2.메가-10만명 이상</v>
      </c>
      <c r="I22" s="10" t="str">
        <f ca="1">IFERROR(__xludf.DUMMYFUNCTION("iferror(REGEXEXTRACT(E22,""[a-zA-Z0-9._%+-]+@[a-zA-Z0-9.-]+\.[a-zA-Z]{2,}""),""2.이메일 없음"")"),"jasmine@idolsandicons.co")</f>
        <v>jasmine@idolsandicons.co</v>
      </c>
      <c r="J22" s="10">
        <f>IFERROR((S22+T22+U22)/V22,"")</f>
        <v>5.8950833333333334E-2</v>
      </c>
      <c r="K22" s="9">
        <f>IFERROR(U22/V22,"")</f>
        <v>4.1416666666666669E-4</v>
      </c>
      <c r="L22" s="8">
        <f>IFERROR(MIN(Q22/1000*1.5, 150),"")</f>
        <v>150</v>
      </c>
      <c r="M22" s="7">
        <f>IFERROR(V22/Q22,"")</f>
        <v>3.7735849056603774</v>
      </c>
      <c r="N22" s="6">
        <f>IFERROR((S22+U22)/Q22,"")</f>
        <v>0.21697169811320755</v>
      </c>
      <c r="O22" s="6">
        <f>IFERROR(100/(L22+1),"")</f>
        <v>0.66225165562913912</v>
      </c>
      <c r="P22" s="5" t="s">
        <v>2066</v>
      </c>
      <c r="Q22" s="4">
        <v>318000</v>
      </c>
      <c r="R22" s="4">
        <v>1619</v>
      </c>
      <c r="S22" s="4">
        <v>68500</v>
      </c>
      <c r="T22" s="4">
        <v>1744</v>
      </c>
      <c r="U22" s="4">
        <v>497</v>
      </c>
      <c r="V22" s="4">
        <v>1200000</v>
      </c>
      <c r="W22" s="4">
        <v>42</v>
      </c>
      <c r="X22" s="1" t="s">
        <v>23</v>
      </c>
      <c r="Y22" s="1" t="s">
        <v>2065</v>
      </c>
      <c r="Z22" s="3">
        <v>45868.101990740739</v>
      </c>
      <c r="AA22" s="2" t="s">
        <v>2064</v>
      </c>
      <c r="AB22" s="1" t="s">
        <v>2063</v>
      </c>
    </row>
    <row r="23" spans="1:28">
      <c r="A23" s="4">
        <v>21</v>
      </c>
      <c r="B23" s="1" t="s">
        <v>1484</v>
      </c>
      <c r="C23" s="1" t="s">
        <v>1483</v>
      </c>
      <c r="D23" s="5" t="s">
        <v>1482</v>
      </c>
      <c r="E23" s="1" t="s">
        <v>1481</v>
      </c>
      <c r="F23" s="1" t="s">
        <v>2062</v>
      </c>
      <c r="G23" s="10"/>
      <c r="H23" s="10" t="str">
        <f>IF(Q23&lt;100000,"1.마이크로-10만명 미만","2.메가-10만명 이상")</f>
        <v>1.마이크로-10만명 미만</v>
      </c>
      <c r="I23" s="10" t="str">
        <f ca="1">IFERROR(__xludf.DUMMYFUNCTION("iferror(REGEXEXTRACT(E23,""[a-zA-Z0-9._%+-]+@[a-zA-Z0-9.-]+\.[a-zA-Z]{2,}""),""2.이메일 없음"")"),"carlina.erikin@hotmail.com")</f>
        <v>carlina.erikin@hotmail.com</v>
      </c>
      <c r="J23" s="10">
        <f>IFERROR((S23+T23+U23)/V23,"")</f>
        <v>5.228813559322034E-2</v>
      </c>
      <c r="K23" s="9">
        <f>IFERROR(U23/V23,"")</f>
        <v>1.1864406779661016E-3</v>
      </c>
      <c r="L23" s="8">
        <f>IFERROR(MIN(Q23/1000*1.5, 150),"")</f>
        <v>126.75</v>
      </c>
      <c r="M23" s="7">
        <f>IFERROR(V23/Q23,"")</f>
        <v>0.27928994082840236</v>
      </c>
      <c r="N23" s="6">
        <f>IFERROR((S23+U23)/Q23,"")</f>
        <v>1.3810650887573965E-2</v>
      </c>
      <c r="O23" s="6">
        <f>IFERROR(100/(L23+1),"")</f>
        <v>0.78277886497064575</v>
      </c>
      <c r="P23" s="5" t="s">
        <v>2061</v>
      </c>
      <c r="Q23" s="4">
        <v>84500</v>
      </c>
      <c r="R23" s="4">
        <v>678</v>
      </c>
      <c r="S23" s="4">
        <v>1139</v>
      </c>
      <c r="T23" s="4">
        <v>67</v>
      </c>
      <c r="U23" s="4">
        <v>28</v>
      </c>
      <c r="V23" s="4">
        <v>23600</v>
      </c>
      <c r="W23" s="4">
        <v>25</v>
      </c>
      <c r="X23" s="1" t="s">
        <v>2060</v>
      </c>
      <c r="Y23" s="1" t="s">
        <v>2059</v>
      </c>
      <c r="Z23" s="3">
        <v>45881.959166666667</v>
      </c>
      <c r="AA23" s="2" t="s">
        <v>2058</v>
      </c>
      <c r="AB23" s="1">
        <v>2242480</v>
      </c>
    </row>
    <row r="24" spans="1:28">
      <c r="A24" s="4">
        <v>22</v>
      </c>
      <c r="B24" s="1" t="s">
        <v>2057</v>
      </c>
      <c r="C24" s="1" t="s">
        <v>2052</v>
      </c>
      <c r="D24" s="5" t="s">
        <v>2056</v>
      </c>
      <c r="E24" s="1" t="s">
        <v>2055</v>
      </c>
      <c r="F24" s="1" t="s">
        <v>2054</v>
      </c>
      <c r="G24" s="10"/>
      <c r="H24" s="10" t="str">
        <f>IF(Q24&lt;100000,"1.마이크로-10만명 미만","2.메가-10만명 이상")</f>
        <v>2.메가-10만명 이상</v>
      </c>
      <c r="I24" s="10" t="str">
        <f ca="1">IFERROR(__xludf.DUMMYFUNCTION("iferror(REGEXEXTRACT(E24,""[a-zA-Z0-9._%+-]+@[a-zA-Z0-9.-]+\.[a-zA-Z]{2,}""),""2.이메일 없음"")"),"selah@clementinegroup.co")</f>
        <v>selah@clementinegroup.co</v>
      </c>
      <c r="J24" s="10">
        <f>IFERROR((S24+T24+U24)/V24,"")</f>
        <v>0.178556338028169</v>
      </c>
      <c r="K24" s="9">
        <f>IFERROR(U24/V24,"")</f>
        <v>3.2570422535211269E-4</v>
      </c>
      <c r="L24" s="8">
        <f>IFERROR(MIN(Q24/1000*1.5, 150),"")</f>
        <v>150</v>
      </c>
      <c r="M24" s="7">
        <f>IFERROR(V24/Q24,"")</f>
        <v>8.1142857142857142E-2</v>
      </c>
      <c r="N24" s="6">
        <f>IFERROR((S24+U24)/Q24,"")</f>
        <v>1.4455000000000001E-2</v>
      </c>
      <c r="O24" s="6">
        <f>IFERROR(100/(L24+1),"")</f>
        <v>0.66225165562913912</v>
      </c>
      <c r="P24" s="5" t="s">
        <v>2053</v>
      </c>
      <c r="Q24" s="4">
        <v>1400000</v>
      </c>
      <c r="R24" s="4">
        <v>1296</v>
      </c>
      <c r="S24" s="4">
        <v>20200</v>
      </c>
      <c r="T24" s="4">
        <v>47</v>
      </c>
      <c r="U24" s="4">
        <v>37</v>
      </c>
      <c r="V24" s="4">
        <v>113600</v>
      </c>
      <c r="W24" s="4">
        <v>57</v>
      </c>
      <c r="X24" s="1" t="s">
        <v>23</v>
      </c>
      <c r="Y24" s="1" t="s">
        <v>2052</v>
      </c>
      <c r="Z24" s="3">
        <v>45882.26798611111</v>
      </c>
      <c r="AA24" s="2" t="s">
        <v>2051</v>
      </c>
      <c r="AB24" s="1" t="s">
        <v>2050</v>
      </c>
    </row>
    <row r="25" spans="1:28">
      <c r="A25" s="4">
        <v>23</v>
      </c>
      <c r="B25" s="1" t="s">
        <v>2049</v>
      </c>
      <c r="C25" s="1" t="s">
        <v>2044</v>
      </c>
      <c r="D25" s="5" t="s">
        <v>2048</v>
      </c>
      <c r="E25" s="1" t="s">
        <v>2047</v>
      </c>
      <c r="F25" s="1" t="s">
        <v>2046</v>
      </c>
      <c r="G25" s="10"/>
      <c r="H25" s="10" t="str">
        <f>IF(Q25&lt;100000,"1.마이크로-10만명 미만","2.메가-10만명 이상")</f>
        <v>2.메가-10만명 이상</v>
      </c>
      <c r="I25" s="10" t="str">
        <f ca="1">IFERROR(__xludf.DUMMYFUNCTION("iferror(REGEXEXTRACT(E25,""[a-zA-Z0-9._%+-]+@[a-zA-Z0-9.-]+\.[a-zA-Z]{2,}""),""2.이메일 없음"")"),"kendall@insightmedia.com")</f>
        <v>kendall@insightmedia.com</v>
      </c>
      <c r="J25" s="10">
        <f>IFERROR((S25+T25+U25)/V25,"")</f>
        <v>0.10150000000000001</v>
      </c>
      <c r="K25" s="9">
        <f>IFERROR(U25/V25,"")</f>
        <v>3.5294117647058826E-4</v>
      </c>
      <c r="L25" s="8">
        <f>IFERROR(MIN(Q25/1000*1.5, 150),"")</f>
        <v>150</v>
      </c>
      <c r="M25" s="7">
        <f>IFERROR(V25/Q25,"")</f>
        <v>4.4347826086956518E-2</v>
      </c>
      <c r="N25" s="6">
        <f>IFERROR((S25+U25)/Q25,"")</f>
        <v>4.4939130434782605E-3</v>
      </c>
      <c r="O25" s="6">
        <f>IFERROR(100/(L25+1),"")</f>
        <v>0.66225165562913912</v>
      </c>
      <c r="P25" s="5" t="s">
        <v>2045</v>
      </c>
      <c r="Q25" s="4">
        <v>2300000</v>
      </c>
      <c r="R25" s="4">
        <v>1379</v>
      </c>
      <c r="S25" s="4">
        <v>10300</v>
      </c>
      <c r="T25" s="4">
        <v>17</v>
      </c>
      <c r="U25" s="4">
        <v>36</v>
      </c>
      <c r="V25" s="4">
        <v>102000</v>
      </c>
      <c r="W25" s="4">
        <v>46</v>
      </c>
      <c r="X25" s="1" t="s">
        <v>23</v>
      </c>
      <c r="Y25" s="1" t="s">
        <v>2044</v>
      </c>
      <c r="Z25" s="3">
        <v>45885.195625</v>
      </c>
      <c r="AA25" s="2" t="s">
        <v>2043</v>
      </c>
      <c r="AB25" s="1" t="s">
        <v>2042</v>
      </c>
    </row>
    <row r="26" spans="1:28">
      <c r="A26" s="4">
        <v>24</v>
      </c>
      <c r="B26" s="1" t="s">
        <v>2041</v>
      </c>
      <c r="C26" s="1" t="s">
        <v>2040</v>
      </c>
      <c r="D26" s="5" t="s">
        <v>2039</v>
      </c>
      <c r="E26" s="1" t="s">
        <v>2038</v>
      </c>
      <c r="F26" s="1" t="s">
        <v>2037</v>
      </c>
      <c r="G26" s="10"/>
      <c r="H26" s="10" t="str">
        <f>IF(Q26&lt;100000,"1.마이크로-10만명 미만","2.메가-10만명 이상")</f>
        <v>2.메가-10만명 이상</v>
      </c>
      <c r="I26" s="10" t="str">
        <f ca="1">IFERROR(__xludf.DUMMYFUNCTION("iferror(REGEXEXTRACT(E26,""[a-zA-Z0-9._%+-]+@[a-zA-Z0-9.-]+\.[a-zA-Z]{2,}""),""2.이메일 없음"")"),"leah09122007@gmail.com")</f>
        <v>leah09122007@gmail.com</v>
      </c>
      <c r="J26" s="10">
        <f>IFERROR((S26+T26+U26)/V26,"")</f>
        <v>7.3313069908814588E-2</v>
      </c>
      <c r="K26" s="9">
        <f>IFERROR(U26/V26,"")</f>
        <v>5.7750759878419454E-4</v>
      </c>
      <c r="L26" s="8">
        <f>IFERROR(MIN(Q26/1000*1.5, 150),"")</f>
        <v>150</v>
      </c>
      <c r="M26" s="7">
        <f>IFERROR(V26/Q26,"")</f>
        <v>0.22580645161290322</v>
      </c>
      <c r="N26" s="6">
        <f>IFERROR((S26+U26)/Q26,"")</f>
        <v>1.6183939601921757E-2</v>
      </c>
      <c r="O26" s="6">
        <f>IFERROR(100/(L26+1),"")</f>
        <v>0.66225165562913912</v>
      </c>
      <c r="P26" s="5" t="s">
        <v>2036</v>
      </c>
      <c r="Q26" s="4">
        <v>145700</v>
      </c>
      <c r="R26" s="4">
        <v>740</v>
      </c>
      <c r="S26" s="4">
        <v>2339</v>
      </c>
      <c r="T26" s="4">
        <v>54</v>
      </c>
      <c r="U26" s="4">
        <v>19</v>
      </c>
      <c r="V26" s="4">
        <v>32900</v>
      </c>
      <c r="W26" s="4">
        <v>15</v>
      </c>
      <c r="X26" s="1" t="s">
        <v>283</v>
      </c>
      <c r="Y26" s="1" t="s">
        <v>2035</v>
      </c>
      <c r="Z26" s="3">
        <v>45852.17765046296</v>
      </c>
      <c r="AA26" s="2" t="s">
        <v>2034</v>
      </c>
      <c r="AB26" s="1" t="s">
        <v>2033</v>
      </c>
    </row>
    <row r="27" spans="1:28">
      <c r="A27" s="4">
        <v>25</v>
      </c>
      <c r="B27" s="1" t="s">
        <v>298</v>
      </c>
      <c r="C27" s="1" t="s">
        <v>297</v>
      </c>
      <c r="D27" s="5" t="s">
        <v>296</v>
      </c>
      <c r="E27" s="1" t="s">
        <v>295</v>
      </c>
      <c r="F27" s="1" t="s">
        <v>2032</v>
      </c>
      <c r="G27" s="10"/>
      <c r="H27" s="10" t="str">
        <f>IF(Q27&lt;100000,"1.마이크로-10만명 미만","2.메가-10만명 이상")</f>
        <v>1.마이크로-10만명 미만</v>
      </c>
      <c r="I27" s="10" t="str">
        <f ca="1">IFERROR(__xludf.DUMMYFUNCTION("iferror(REGEXEXTRACT(E27,""[a-zA-Z0-9._%+-]+@[a-zA-Z0-9.-]+\.[a-zA-Z]{2,}""),""2.이메일 없음"")"),"2.이메일 없음")</f>
        <v>2.이메일 없음</v>
      </c>
      <c r="J27" s="10">
        <f>IFERROR((S27+T27+U27)/V27,"")</f>
        <v>9.8174904942965782E-2</v>
      </c>
      <c r="K27" s="9">
        <f>IFERROR(U27/V27,"")</f>
        <v>1.8441064638783269E-3</v>
      </c>
      <c r="L27" s="8">
        <f>IFERROR(MIN(Q27/1000*1.5, 150),"")</f>
        <v>4.2824999999999998</v>
      </c>
      <c r="M27" s="7">
        <f>IFERROR(V27/Q27,"")</f>
        <v>18.423817863397549</v>
      </c>
      <c r="N27" s="6">
        <f>IFERROR((S27+U27)/Q27,"")</f>
        <v>1.6847635726795096</v>
      </c>
      <c r="O27" s="6">
        <f>IFERROR(100/(L27+1),"")</f>
        <v>18.930430667297681</v>
      </c>
      <c r="P27" s="5" t="s">
        <v>2031</v>
      </c>
      <c r="Q27" s="4">
        <v>2855</v>
      </c>
      <c r="R27" s="4">
        <v>112</v>
      </c>
      <c r="S27" s="4">
        <v>4713</v>
      </c>
      <c r="T27" s="4">
        <v>354</v>
      </c>
      <c r="U27" s="4">
        <v>97</v>
      </c>
      <c r="V27" s="4">
        <v>52600</v>
      </c>
      <c r="W27" s="4">
        <v>14</v>
      </c>
      <c r="X27" s="1" t="s">
        <v>2030</v>
      </c>
      <c r="Y27" s="1" t="s">
        <v>2029</v>
      </c>
      <c r="Z27" s="3">
        <v>45895.345300925925</v>
      </c>
      <c r="AA27" s="2" t="s">
        <v>2028</v>
      </c>
      <c r="AB27" s="1" t="s">
        <v>290</v>
      </c>
    </row>
    <row r="28" spans="1:28">
      <c r="A28" s="4">
        <v>26</v>
      </c>
      <c r="B28" s="1" t="s">
        <v>2027</v>
      </c>
      <c r="C28" s="1" t="s">
        <v>2022</v>
      </c>
      <c r="D28" s="5" t="s">
        <v>2026</v>
      </c>
      <c r="E28" s="1" t="s">
        <v>2025</v>
      </c>
      <c r="F28" s="1" t="s">
        <v>2024</v>
      </c>
      <c r="G28" s="10"/>
      <c r="H28" s="10" t="str">
        <f>IF(Q28&lt;100000,"1.마이크로-10만명 미만","2.메가-10만명 이상")</f>
        <v>2.메가-10만명 이상</v>
      </c>
      <c r="I28" s="10" t="str">
        <f ca="1">IFERROR(__xludf.DUMMYFUNCTION("iferror(REGEXEXTRACT(E28,""[a-zA-Z0-9._%+-]+@[a-zA-Z0-9.-]+\.[a-zA-Z]{2,}""),""2.이메일 없음"")"),"alaya@zink-talent.com")</f>
        <v>alaya@zink-talent.com</v>
      </c>
      <c r="J28" s="10">
        <f>IFERROR((S28+T28+U28)/V28,"")</f>
        <v>2.4880273660205246E-2</v>
      </c>
      <c r="K28" s="9">
        <f>IFERROR(U28/V28,"")</f>
        <v>2.8506271379703536E-4</v>
      </c>
      <c r="L28" s="8">
        <f>IFERROR(MIN(Q28/1000*1.5, 150),"")</f>
        <v>150</v>
      </c>
      <c r="M28" s="7">
        <f>IFERROR(V28/Q28,"")</f>
        <v>0.82813975448536359</v>
      </c>
      <c r="N28" s="6">
        <f>IFERROR((S28+U28)/Q28,"")</f>
        <v>1.9490084985835696E-2</v>
      </c>
      <c r="O28" s="6">
        <f>IFERROR(100/(L28+1),"")</f>
        <v>0.66225165562913912</v>
      </c>
      <c r="P28" s="5" t="s">
        <v>2023</v>
      </c>
      <c r="Q28" s="4">
        <v>105900</v>
      </c>
      <c r="R28" s="4">
        <v>741</v>
      </c>
      <c r="S28" s="4">
        <v>2039</v>
      </c>
      <c r="T28" s="4">
        <v>118</v>
      </c>
      <c r="U28" s="4">
        <v>25</v>
      </c>
      <c r="V28" s="16">
        <v>87700</v>
      </c>
      <c r="W28" s="4">
        <v>40</v>
      </c>
      <c r="X28" s="1" t="s">
        <v>23</v>
      </c>
      <c r="Y28" s="1" t="s">
        <v>2022</v>
      </c>
      <c r="Z28" s="3">
        <v>45876.269467592596</v>
      </c>
      <c r="AA28" s="2" t="s">
        <v>2021</v>
      </c>
      <c r="AB28" s="1" t="s">
        <v>2020</v>
      </c>
    </row>
    <row r="29" spans="1:28">
      <c r="A29" s="4">
        <v>27</v>
      </c>
      <c r="B29" s="1" t="s">
        <v>2019</v>
      </c>
      <c r="C29" s="1" t="s">
        <v>2014</v>
      </c>
      <c r="D29" s="5" t="s">
        <v>2018</v>
      </c>
      <c r="E29" s="1" t="s">
        <v>2017</v>
      </c>
      <c r="F29" s="1" t="s">
        <v>2016</v>
      </c>
      <c r="G29" s="10"/>
      <c r="H29" s="10" t="str">
        <f>IF(Q29&lt;100000,"1.마이크로-10만명 미만","2.메가-10만명 이상")</f>
        <v>2.메가-10만명 이상</v>
      </c>
      <c r="I29" s="10" t="str">
        <f ca="1">IFERROR(__xludf.DUMMYFUNCTION("iferror(REGEXEXTRACT(E29,""[a-zA-Z0-9._%+-]+@[a-zA-Z0-9.-]+\.[a-zA-Z]{2,}""),""2.이메일 없음"")"),"anjana.dhiman@dulcedo.com")</f>
        <v>anjana.dhiman@dulcedo.com</v>
      </c>
      <c r="J29" s="10">
        <f>IFERROR((S29+T29+U29)/V29,"")</f>
        <v>2.5235602094240837E-2</v>
      </c>
      <c r="K29" s="9">
        <f>IFERROR(U29/V29,"")</f>
        <v>5.2356020942408382E-4</v>
      </c>
      <c r="L29" s="8">
        <f>IFERROR(MIN(Q29/1000*1.5, 150),"")</f>
        <v>150</v>
      </c>
      <c r="M29" s="7">
        <f>IFERROR(V29/Q29,"")</f>
        <v>7.4059713067080257E-2</v>
      </c>
      <c r="N29" s="6">
        <f>IFERROR((S29+U29)/Q29,"")</f>
        <v>1.8417991469561845E-3</v>
      </c>
      <c r="O29" s="6">
        <f>IFERROR(100/(L29+1),"")</f>
        <v>0.66225165562913912</v>
      </c>
      <c r="P29" s="5" t="s">
        <v>2015</v>
      </c>
      <c r="Q29" s="4">
        <v>257900</v>
      </c>
      <c r="R29" s="4">
        <v>1247</v>
      </c>
      <c r="S29" s="4">
        <v>465</v>
      </c>
      <c r="T29" s="4">
        <v>7</v>
      </c>
      <c r="U29" s="4">
        <v>10</v>
      </c>
      <c r="V29" s="4">
        <v>19100</v>
      </c>
      <c r="W29" s="4">
        <v>93</v>
      </c>
      <c r="X29" s="1" t="s">
        <v>23</v>
      </c>
      <c r="Y29" s="1" t="s">
        <v>2014</v>
      </c>
      <c r="Z29" s="3">
        <v>45835.382407407407</v>
      </c>
      <c r="AA29" s="2" t="s">
        <v>2013</v>
      </c>
      <c r="AB29" s="1" t="s">
        <v>2012</v>
      </c>
    </row>
    <row r="30" spans="1:28">
      <c r="A30" s="4">
        <v>28</v>
      </c>
      <c r="B30" s="1" t="s">
        <v>2011</v>
      </c>
      <c r="C30" s="1" t="s">
        <v>2010</v>
      </c>
      <c r="D30" s="5" t="s">
        <v>2009</v>
      </c>
      <c r="E30" s="1" t="s">
        <v>2008</v>
      </c>
      <c r="F30" s="1" t="s">
        <v>2007</v>
      </c>
      <c r="G30" s="10"/>
      <c r="H30" s="10" t="str">
        <f>IF(Q30&lt;100000,"1.마이크로-10만명 미만","2.메가-10만명 이상")</f>
        <v>2.메가-10만명 이상</v>
      </c>
      <c r="I30" s="10" t="str">
        <f ca="1">IFERROR(__xludf.DUMMYFUNCTION("iferror(REGEXEXTRACT(E30,""[a-zA-Z0-9._%+-]+@[a-zA-Z0-9.-]+\.[a-zA-Z]{2,}""),""2.이메일 없음"")"),"jaimecampanellaa@gmail.com")</f>
        <v>jaimecampanellaa@gmail.com</v>
      </c>
      <c r="J30" s="10">
        <f>IFERROR((S30+T30+U30)/V30,"")</f>
        <v>3.8315217391304349E-2</v>
      </c>
      <c r="K30" s="9">
        <f>IFERROR(U30/V30,"")</f>
        <v>8.1521739130434778E-4</v>
      </c>
      <c r="L30" s="8">
        <f>IFERROR(MIN(Q30/1000*1.5, 150),"")</f>
        <v>150</v>
      </c>
      <c r="M30" s="7">
        <f>IFERROR(V30/Q30,"")</f>
        <v>0.15397489539748954</v>
      </c>
      <c r="N30" s="6">
        <f>IFERROR((S30+U30)/Q30,"")</f>
        <v>5.5983263598326357E-3</v>
      </c>
      <c r="O30" s="6">
        <f>IFERROR(100/(L30+1),"")</f>
        <v>0.66225165562913912</v>
      </c>
      <c r="P30" s="5" t="s">
        <v>2006</v>
      </c>
      <c r="Q30" s="4">
        <v>119500</v>
      </c>
      <c r="R30" s="4">
        <v>1129</v>
      </c>
      <c r="S30" s="4">
        <v>654</v>
      </c>
      <c r="T30" s="4">
        <v>36</v>
      </c>
      <c r="U30" s="4">
        <v>15</v>
      </c>
      <c r="V30" s="4">
        <v>18400</v>
      </c>
      <c r="W30" s="4">
        <v>43</v>
      </c>
      <c r="X30" s="1" t="s">
        <v>2005</v>
      </c>
      <c r="Y30" s="1" t="s">
        <v>2004</v>
      </c>
      <c r="Z30" s="3">
        <v>45876.910624999997</v>
      </c>
      <c r="AA30" s="2" t="s">
        <v>2003</v>
      </c>
      <c r="AB30" s="1" t="s">
        <v>2002</v>
      </c>
    </row>
    <row r="31" spans="1:28">
      <c r="A31" s="4">
        <v>29</v>
      </c>
      <c r="B31" s="1" t="s">
        <v>2001</v>
      </c>
      <c r="C31" s="1" t="s">
        <v>1996</v>
      </c>
      <c r="D31" s="5" t="s">
        <v>2000</v>
      </c>
      <c r="E31" s="1" t="s">
        <v>1999</v>
      </c>
      <c r="F31" s="1" t="s">
        <v>1998</v>
      </c>
      <c r="G31" s="10"/>
      <c r="H31" s="10" t="str">
        <f>IF(Q31&lt;100000,"1.마이크로-10만명 미만","2.메가-10만명 이상")</f>
        <v>2.메가-10만명 이상</v>
      </c>
      <c r="I31" s="10" t="str">
        <f ca="1">IFERROR(__xludf.DUMMYFUNCTION("iferror(REGEXEXTRACT(E31,""[a-zA-Z0-9._%+-]+@[a-zA-Z0-9.-]+\.[a-zA-Z]{2,}""),""2.이메일 없음"")"),"chloe@fromatoztalent.com")</f>
        <v>chloe@fromatoztalent.com</v>
      </c>
      <c r="J31" s="10">
        <f>IFERROR((S31+T31+U31)/V31,"")</f>
        <v>2.9749999999999999E-2</v>
      </c>
      <c r="K31" s="9">
        <f>IFERROR(U31/V31,"")</f>
        <v>3.0000000000000001E-3</v>
      </c>
      <c r="L31" s="8">
        <f>IFERROR(MIN(Q31/1000*1.5, 150),"")</f>
        <v>150</v>
      </c>
      <c r="M31" s="7">
        <f>IFERROR(V31/Q31,"")</f>
        <v>9.2664092664092659E-2</v>
      </c>
      <c r="N31" s="6">
        <f>IFERROR((S31+U31)/Q31,"")</f>
        <v>2.6177606177606176E-3</v>
      </c>
      <c r="O31" s="6">
        <f>IFERROR(100/(L31+1),"")</f>
        <v>0.66225165562913912</v>
      </c>
      <c r="P31" s="5" t="s">
        <v>1997</v>
      </c>
      <c r="Q31" s="4">
        <v>129500</v>
      </c>
      <c r="R31" s="4">
        <v>1657</v>
      </c>
      <c r="S31" s="4">
        <v>303</v>
      </c>
      <c r="T31" s="4">
        <v>18</v>
      </c>
      <c r="U31" s="4">
        <v>36</v>
      </c>
      <c r="V31" s="4">
        <v>12000</v>
      </c>
      <c r="W31" s="4">
        <v>44</v>
      </c>
      <c r="X31" s="1" t="s">
        <v>23</v>
      </c>
      <c r="Y31" s="1" t="s">
        <v>1996</v>
      </c>
      <c r="Z31" s="3">
        <v>45875.285590277781</v>
      </c>
      <c r="AA31" s="2" t="s">
        <v>1995</v>
      </c>
      <c r="AB31" s="1" t="s">
        <v>1994</v>
      </c>
    </row>
    <row r="32" spans="1:28">
      <c r="A32" s="4">
        <v>30</v>
      </c>
      <c r="B32" s="1" t="s">
        <v>1993</v>
      </c>
      <c r="C32" s="1" t="s">
        <v>1992</v>
      </c>
      <c r="D32" s="5" t="s">
        <v>1991</v>
      </c>
      <c r="E32" s="1" t="s">
        <v>1990</v>
      </c>
      <c r="F32" s="1" t="s">
        <v>1989</v>
      </c>
      <c r="G32" s="10"/>
      <c r="H32" s="10" t="str">
        <f>IF(Q32&lt;100000,"1.마이크로-10만명 미만","2.메가-10만명 이상")</f>
        <v>1.마이크로-10만명 미만</v>
      </c>
      <c r="I32" s="10" t="str">
        <f ca="1">IFERROR(__xludf.DUMMYFUNCTION("iferror(REGEXEXTRACT(E32,""[a-zA-Z0-9._%+-]+@[a-zA-Z0-9.-]+\.[a-zA-Z]{2,}""),""2.이메일 없음"")"),"hannahfslope@gmail.com")</f>
        <v>hannahfslope@gmail.com</v>
      </c>
      <c r="J32" s="10">
        <f>IFERROR((S32+T32+U32)/V32,"")</f>
        <v>6.2763954270342967E-2</v>
      </c>
      <c r="K32" s="9">
        <f>IFERROR(U32/V32,"")</f>
        <v>2.2663080026899796E-3</v>
      </c>
      <c r="L32" s="8">
        <f>IFERROR(MIN(Q32/1000*1.5, 150),"")</f>
        <v>5.58</v>
      </c>
      <c r="M32" s="7">
        <f>IFERROR(V32/Q32,"")</f>
        <v>39.973118279569896</v>
      </c>
      <c r="N32" s="6">
        <f>IFERROR((S32+U32)/Q32,"")</f>
        <v>2.4561827956989246</v>
      </c>
      <c r="O32" s="6">
        <f>IFERROR(100/(L32+1),"")</f>
        <v>15.19756838905775</v>
      </c>
      <c r="P32" s="5" t="s">
        <v>1988</v>
      </c>
      <c r="Q32" s="4">
        <v>3720</v>
      </c>
      <c r="R32" s="4">
        <v>323</v>
      </c>
      <c r="S32" s="4">
        <v>8800</v>
      </c>
      <c r="T32" s="4">
        <v>196</v>
      </c>
      <c r="U32" s="4">
        <v>337</v>
      </c>
      <c r="V32" s="4">
        <v>148700</v>
      </c>
      <c r="W32" s="4">
        <v>5</v>
      </c>
      <c r="X32" s="1" t="s">
        <v>23</v>
      </c>
      <c r="Y32" s="1" t="s">
        <v>1066</v>
      </c>
      <c r="Z32" s="3">
        <v>45636.216238425928</v>
      </c>
      <c r="AA32" s="2" t="s">
        <v>1987</v>
      </c>
      <c r="AB32" s="1" t="s">
        <v>1986</v>
      </c>
    </row>
    <row r="33" spans="1:28">
      <c r="A33" s="4">
        <v>31</v>
      </c>
      <c r="B33" s="1" t="s">
        <v>1985</v>
      </c>
      <c r="C33" s="1" t="s">
        <v>1980</v>
      </c>
      <c r="D33" s="5" t="s">
        <v>1984</v>
      </c>
      <c r="E33" s="1" t="s">
        <v>1983</v>
      </c>
      <c r="F33" s="1" t="s">
        <v>1982</v>
      </c>
      <c r="G33" s="10"/>
      <c r="H33" s="10" t="str">
        <f>IF(Q33&lt;100000,"1.마이크로-10만명 미만","2.메가-10만명 이상")</f>
        <v>2.메가-10만명 이상</v>
      </c>
      <c r="I33" s="10" t="str">
        <f ca="1">IFERROR(__xludf.DUMMYFUNCTION("iferror(REGEXEXTRACT(E33,""[a-zA-Z0-9._%+-]+@[a-zA-Z0-9.-]+\.[a-zA-Z]{2,}""),""2.이메일 없음"")"),"nicole.herrera@thedigitalbrandarchitects.com")</f>
        <v>nicole.herrera@thedigitalbrandarchitects.com</v>
      </c>
      <c r="J33" s="10">
        <f>IFERROR((S33+T33+U33)/V33,"")</f>
        <v>5.1605806451612904E-2</v>
      </c>
      <c r="K33" s="9">
        <f>IFERROR(U33/V33,"")</f>
        <v>1.5419354838709678E-4</v>
      </c>
      <c r="L33" s="8">
        <f>IFERROR(MIN(Q33/1000*1.5, 150),"")</f>
        <v>150</v>
      </c>
      <c r="M33" s="7">
        <f>IFERROR(V33/Q33,"")</f>
        <v>7.0342636714318134</v>
      </c>
      <c r="N33" s="6">
        <f>IFERROR((S33+U33)/Q33,"")</f>
        <v>0.29584297708191515</v>
      </c>
      <c r="O33" s="6">
        <f>IFERROR(100/(L33+1),"")</f>
        <v>0.66225165562913912</v>
      </c>
      <c r="P33" s="5" t="s">
        <v>1981</v>
      </c>
      <c r="Q33" s="4">
        <v>440700</v>
      </c>
      <c r="R33" s="4">
        <v>2996</v>
      </c>
      <c r="S33" s="4">
        <v>129900</v>
      </c>
      <c r="T33" s="4">
        <v>29600</v>
      </c>
      <c r="U33" s="4">
        <v>478</v>
      </c>
      <c r="V33" s="4">
        <v>3100000</v>
      </c>
      <c r="W33" s="4">
        <v>28</v>
      </c>
      <c r="X33" s="1" t="s">
        <v>23</v>
      </c>
      <c r="Y33" s="1" t="s">
        <v>1980</v>
      </c>
      <c r="Z33" s="3">
        <v>45700.211192129631</v>
      </c>
      <c r="AA33" s="2" t="s">
        <v>1979</v>
      </c>
      <c r="AB33" s="1">
        <v>14099908</v>
      </c>
    </row>
    <row r="34" spans="1:28">
      <c r="A34" s="4">
        <v>32</v>
      </c>
      <c r="B34" s="1" t="s">
        <v>1978</v>
      </c>
      <c r="C34" s="1" t="s">
        <v>1973</v>
      </c>
      <c r="D34" s="5" t="s">
        <v>1977</v>
      </c>
      <c r="E34" s="1" t="s">
        <v>1976</v>
      </c>
      <c r="F34" s="1" t="s">
        <v>1975</v>
      </c>
      <c r="G34" s="10"/>
      <c r="H34" s="10" t="str">
        <f>IF(Q34&lt;100000,"1.마이크로-10만명 미만","2.메가-10만명 이상")</f>
        <v>2.메가-10만명 이상</v>
      </c>
      <c r="I34" s="10" t="str">
        <f ca="1">IFERROR(__xludf.DUMMYFUNCTION("iferror(REGEXEXTRACT(E34,""[a-zA-Z0-9._%+-]+@[a-zA-Z0-9.-]+\.[a-zA-Z]{2,}""),""2.이메일 없음"")"),"katymcbridevlogs@gmail.com")</f>
        <v>katymcbridevlogs@gmail.com</v>
      </c>
      <c r="J34" s="10">
        <f>IFERROR((S34+T34+U34)/V34,"")</f>
        <v>1.7562380952380951E-2</v>
      </c>
      <c r="K34" s="9">
        <f>IFERROR(U34/V34,"")</f>
        <v>9.4761904761904756E-5</v>
      </c>
      <c r="L34" s="8">
        <f>IFERROR(MIN(Q34/1000*1.5, 150),"")</f>
        <v>150</v>
      </c>
      <c r="M34" s="7">
        <f>IFERROR(V34/Q34,"")</f>
        <v>16.509433962264151</v>
      </c>
      <c r="N34" s="6">
        <f>IFERROR((S34+U34)/Q34,"")</f>
        <v>0.27908018867924528</v>
      </c>
      <c r="O34" s="6">
        <f>IFERROR(100/(L34+1),"")</f>
        <v>0.66225165562913912</v>
      </c>
      <c r="P34" s="5" t="s">
        <v>1974</v>
      </c>
      <c r="Q34" s="4">
        <v>127200</v>
      </c>
      <c r="R34" s="4">
        <v>573</v>
      </c>
      <c r="S34" s="4">
        <v>35300</v>
      </c>
      <c r="T34" s="4">
        <v>1382</v>
      </c>
      <c r="U34" s="4">
        <v>199</v>
      </c>
      <c r="V34" s="4">
        <v>2100000</v>
      </c>
      <c r="W34" s="4">
        <v>28</v>
      </c>
      <c r="X34" s="1" t="s">
        <v>23</v>
      </c>
      <c r="Y34" s="1" t="s">
        <v>1973</v>
      </c>
      <c r="Z34" s="3">
        <v>45555.260034722225</v>
      </c>
      <c r="AA34" s="2" t="s">
        <v>1972</v>
      </c>
      <c r="AB34" s="1" t="s">
        <v>1971</v>
      </c>
    </row>
    <row r="35" spans="1:28">
      <c r="A35" s="4">
        <v>33</v>
      </c>
      <c r="B35" s="1" t="s">
        <v>1970</v>
      </c>
      <c r="C35" s="1" t="s">
        <v>1965</v>
      </c>
      <c r="D35" s="5" t="s">
        <v>1969</v>
      </c>
      <c r="E35" s="1" t="s">
        <v>1968</v>
      </c>
      <c r="F35" s="1" t="s">
        <v>1967</v>
      </c>
      <c r="G35" s="10"/>
      <c r="H35" s="10" t="str">
        <f>IF(Q35&lt;100000,"1.마이크로-10만명 미만","2.메가-10만명 이상")</f>
        <v>2.메가-10만명 이상</v>
      </c>
      <c r="I35" s="10" t="str">
        <f ca="1">IFERROR(__xludf.DUMMYFUNCTION("iferror(REGEXEXTRACT(E35,""[a-zA-Z0-9._%+-]+@[a-zA-Z0-9.-]+\.[a-zA-Z]{2,}""),""2.이메일 없음"")"),"arianavitalepr@gmail.com")</f>
        <v>arianavitalepr@gmail.com</v>
      </c>
      <c r="J35" s="10">
        <f>IFERROR((S35+T35+U35)/V35,"")</f>
        <v>1.1644736842105263E-2</v>
      </c>
      <c r="K35" s="9">
        <f>IFERROR(U35/V35,"")</f>
        <v>2.7777777777777778E-4</v>
      </c>
      <c r="L35" s="8">
        <f>IFERROR(MIN(Q35/1000*1.5, 150),"")</f>
        <v>150</v>
      </c>
      <c r="M35" s="7">
        <f>IFERROR(V35/Q35,"")</f>
        <v>0.24467894830978357</v>
      </c>
      <c r="N35" s="6">
        <f>IFERROR((S35+U35)/Q35,"")</f>
        <v>2.5058129136111607E-3</v>
      </c>
      <c r="O35" s="6">
        <f>IFERROR(100/(L35+1),"")</f>
        <v>0.66225165562913912</v>
      </c>
      <c r="P35" s="5" t="s">
        <v>1966</v>
      </c>
      <c r="Q35" s="4">
        <v>559100</v>
      </c>
      <c r="R35" s="4">
        <v>1252</v>
      </c>
      <c r="S35" s="4">
        <v>1363</v>
      </c>
      <c r="T35" s="4">
        <v>192</v>
      </c>
      <c r="U35" s="4">
        <v>38</v>
      </c>
      <c r="V35" s="4">
        <v>136800</v>
      </c>
      <c r="W35" s="4">
        <v>44</v>
      </c>
      <c r="X35" s="1" t="s">
        <v>23</v>
      </c>
      <c r="Y35" s="1" t="s">
        <v>1965</v>
      </c>
      <c r="Z35" s="3">
        <v>45540.014976851853</v>
      </c>
      <c r="AA35" s="2" t="s">
        <v>1964</v>
      </c>
      <c r="AB35" s="1" t="s">
        <v>1963</v>
      </c>
    </row>
    <row r="36" spans="1:28">
      <c r="A36" s="4">
        <v>34</v>
      </c>
      <c r="B36" s="1" t="s">
        <v>1962</v>
      </c>
      <c r="C36" s="1" t="s">
        <v>1957</v>
      </c>
      <c r="D36" s="5" t="s">
        <v>1961</v>
      </c>
      <c r="E36" s="1" t="s">
        <v>1960</v>
      </c>
      <c r="F36" s="1" t="s">
        <v>1959</v>
      </c>
      <c r="G36" s="10"/>
      <c r="H36" s="10" t="str">
        <f>IF(Q36&lt;100000,"1.마이크로-10만명 미만","2.메가-10만명 이상")</f>
        <v>2.메가-10만명 이상</v>
      </c>
      <c r="I36" s="10" t="str">
        <f ca="1">IFERROR(__xludf.DUMMYFUNCTION("iferror(REGEXEXTRACT(E36,""[a-zA-Z0-9._%+-]+@[a-zA-Z0-9.-]+\.[a-zA-Z]{2,}""),""2.이메일 없음"")"),"Lea@shinetalentgroup.com")</f>
        <v>Lea@shinetalentgroup.com</v>
      </c>
      <c r="J36" s="10">
        <f>IFERROR((S36+T36+U36)/V36,"")</f>
        <v>7.9609175870858119E-3</v>
      </c>
      <c r="K36" s="9">
        <f>IFERROR(U36/V36,"")</f>
        <v>2.9736618521665253E-4</v>
      </c>
      <c r="L36" s="8">
        <f>IFERROR(MIN(Q36/1000*1.5, 150),"")</f>
        <v>150</v>
      </c>
      <c r="M36" s="7">
        <f>IFERROR(V36/Q36,"")</f>
        <v>1.3806451612903226</v>
      </c>
      <c r="N36" s="6">
        <f>IFERROR((S36+U36)/Q36,"")</f>
        <v>9.8123167155425225E-3</v>
      </c>
      <c r="O36" s="6">
        <f>IFERROR(100/(L36+1),"")</f>
        <v>0.66225165562913912</v>
      </c>
      <c r="P36" s="5" t="s">
        <v>1958</v>
      </c>
      <c r="Q36" s="4">
        <v>170500</v>
      </c>
      <c r="R36" s="4">
        <v>1462</v>
      </c>
      <c r="S36" s="4">
        <v>1603</v>
      </c>
      <c r="T36" s="4">
        <v>201</v>
      </c>
      <c r="U36" s="4">
        <v>70</v>
      </c>
      <c r="V36" s="4">
        <v>235400</v>
      </c>
      <c r="W36" s="4">
        <v>88</v>
      </c>
      <c r="X36" s="1" t="s">
        <v>23</v>
      </c>
      <c r="Y36" s="1" t="s">
        <v>1957</v>
      </c>
      <c r="Z36" s="3">
        <v>45395.129305555558</v>
      </c>
      <c r="AA36" s="2" t="s">
        <v>1956</v>
      </c>
      <c r="AB36" s="1" t="s">
        <v>1955</v>
      </c>
    </row>
    <row r="37" spans="1:28">
      <c r="A37" s="4">
        <v>35</v>
      </c>
      <c r="B37" s="1" t="s">
        <v>1954</v>
      </c>
      <c r="C37" s="1" t="s">
        <v>1953</v>
      </c>
      <c r="D37" s="5" t="s">
        <v>1952</v>
      </c>
      <c r="E37" s="1" t="s">
        <v>1951</v>
      </c>
      <c r="F37" s="1" t="s">
        <v>1950</v>
      </c>
      <c r="G37" s="10"/>
      <c r="H37" s="10" t="str">
        <f>IF(Q37&lt;100000,"1.마이크로-10만명 미만","2.메가-10만명 이상")</f>
        <v>1.마이크로-10만명 미만</v>
      </c>
      <c r="I37" s="10" t="str">
        <f ca="1">IFERROR(__xludf.DUMMYFUNCTION("iferror(REGEXEXTRACT(E37,""[a-zA-Z0-9._%+-]+@[a-zA-Z0-9.-]+\.[a-zA-Z]{2,}""),""2.이메일 없음"")"),"keira@theangelsmgmt.com")</f>
        <v>keira@theangelsmgmt.com</v>
      </c>
      <c r="J37" s="10">
        <f>IFERROR((S37+T37+U37)/V37,"")</f>
        <v>1.8304093567251462E-2</v>
      </c>
      <c r="K37" s="9">
        <f>IFERROR(U37/V37,"")</f>
        <v>7.3099415204678359E-4</v>
      </c>
      <c r="L37" s="8">
        <f>IFERROR(MIN(Q37/1000*1.5, 150),"")</f>
        <v>20.399999999999999</v>
      </c>
      <c r="M37" s="7">
        <f>IFERROR(V37/Q37,"")</f>
        <v>2.5147058823529411</v>
      </c>
      <c r="N37" s="6">
        <f>IFERROR((S37+U37)/Q37,"")</f>
        <v>4.4852941176470588E-2</v>
      </c>
      <c r="O37" s="6">
        <f>IFERROR(100/(L37+1),"")</f>
        <v>4.6728971962616823</v>
      </c>
      <c r="P37" s="5" t="s">
        <v>1949</v>
      </c>
      <c r="Q37" s="4">
        <v>13600</v>
      </c>
      <c r="R37" s="4">
        <v>452</v>
      </c>
      <c r="S37" s="4">
        <v>585</v>
      </c>
      <c r="T37" s="4">
        <v>16</v>
      </c>
      <c r="U37" s="4">
        <v>25</v>
      </c>
      <c r="V37" s="4">
        <v>34200</v>
      </c>
      <c r="W37" s="4">
        <v>22</v>
      </c>
      <c r="X37" s="1" t="s">
        <v>23</v>
      </c>
      <c r="Y37" s="1" t="s">
        <v>1948</v>
      </c>
      <c r="Z37" s="3">
        <v>45743.997037037036</v>
      </c>
      <c r="AA37" s="2" t="s">
        <v>1947</v>
      </c>
      <c r="AB37" s="1" t="s">
        <v>1946</v>
      </c>
    </row>
    <row r="38" spans="1:28">
      <c r="A38" s="4">
        <v>36</v>
      </c>
      <c r="B38" s="1" t="s">
        <v>1945</v>
      </c>
      <c r="C38" s="1" t="s">
        <v>1940</v>
      </c>
      <c r="D38" s="5" t="s">
        <v>1944</v>
      </c>
      <c r="E38" s="1" t="s">
        <v>1943</v>
      </c>
      <c r="F38" s="1" t="s">
        <v>1942</v>
      </c>
      <c r="G38" s="10"/>
      <c r="H38" s="10" t="str">
        <f>IF(Q38&lt;100000,"1.마이크로-10만명 미만","2.메가-10만명 이상")</f>
        <v>1.마이크로-10만명 미만</v>
      </c>
      <c r="I38" s="10" t="str">
        <f ca="1">IFERROR(__xludf.DUMMYFUNCTION("iferror(REGEXEXTRACT(E38,""[a-zA-Z0-9._%+-]+@[a-zA-Z0-9.-]+\.[a-zA-Z]{2,}""),""2.이메일 없음"")"),"tanyabelllapr@gmail.com")</f>
        <v>tanyabelllapr@gmail.com</v>
      </c>
      <c r="J38" s="10">
        <f>IFERROR((S38+T38+U38)/V38,"")</f>
        <v>7.4109589041095889E-3</v>
      </c>
      <c r="K38" s="9">
        <f>IFERROR(U38/V38,"")</f>
        <v>2.7397260273972601E-4</v>
      </c>
      <c r="L38" s="8">
        <f>IFERROR(MIN(Q38/1000*1.5, 150),"")</f>
        <v>11.932500000000001</v>
      </c>
      <c r="M38" s="7">
        <f>IFERROR(V38/Q38,"")</f>
        <v>18.353236957888122</v>
      </c>
      <c r="N38" s="6">
        <f>IFERROR((S38+U38)/Q38,"")</f>
        <v>0.11401634192331866</v>
      </c>
      <c r="O38" s="6">
        <f>IFERROR(100/(L38+1),"")</f>
        <v>7.7324569882080025</v>
      </c>
      <c r="P38" s="5" t="s">
        <v>1941</v>
      </c>
      <c r="Q38" s="4">
        <v>7955</v>
      </c>
      <c r="R38" s="4">
        <v>577</v>
      </c>
      <c r="S38" s="4">
        <v>867</v>
      </c>
      <c r="T38" s="4">
        <v>175</v>
      </c>
      <c r="U38" s="4">
        <v>40</v>
      </c>
      <c r="V38" s="4">
        <v>146000</v>
      </c>
      <c r="W38" s="4">
        <v>33</v>
      </c>
      <c r="X38" s="1" t="s">
        <v>23</v>
      </c>
      <c r="Y38" s="1" t="s">
        <v>1940</v>
      </c>
      <c r="Z38" s="3">
        <v>45316.083680555559</v>
      </c>
      <c r="AA38" s="2" t="s">
        <v>1939</v>
      </c>
      <c r="AB38" s="1" t="s">
        <v>1938</v>
      </c>
    </row>
    <row r="39" spans="1:28">
      <c r="A39" s="4">
        <v>37</v>
      </c>
      <c r="B39" s="1" t="s">
        <v>1937</v>
      </c>
      <c r="C39" s="1" t="s">
        <v>1936</v>
      </c>
      <c r="D39" s="5" t="s">
        <v>1935</v>
      </c>
      <c r="E39" s="1" t="s">
        <v>1934</v>
      </c>
      <c r="F39" s="1" t="s">
        <v>1933</v>
      </c>
      <c r="G39" s="10"/>
      <c r="H39" s="10" t="str">
        <f>IF(Q39&lt;100000,"1.마이크로-10만명 미만","2.메가-10만명 이상")</f>
        <v>2.메가-10만명 이상</v>
      </c>
      <c r="I39" s="10" t="str">
        <f ca="1">IFERROR(__xludf.DUMMYFUNCTION("iferror(REGEXEXTRACT(E39,""[a-zA-Z0-9._%+-]+@[a-zA-Z0-9.-]+\.[a-zA-Z]{2,}""),""2.이메일 없음"")"),"neahimanicollab@outlook.com")</f>
        <v>neahimanicollab@outlook.com</v>
      </c>
      <c r="J39" s="10">
        <f>IFERROR((S39+T39+U39)/V39,"")</f>
        <v>6.2711864406779661E-3</v>
      </c>
      <c r="K39" s="9">
        <f>IFERROR(U39/V39,"")</f>
        <v>3.3898305084745765E-4</v>
      </c>
      <c r="L39" s="8">
        <f>IFERROR(MIN(Q39/1000*1.5, 150),"")</f>
        <v>150</v>
      </c>
      <c r="M39" s="7">
        <f>IFERROR(V39/Q39,"")</f>
        <v>0.17946768060836502</v>
      </c>
      <c r="N39" s="6">
        <f>IFERROR((S39+U39)/Q39,"")</f>
        <v>9.9619771863117875E-4</v>
      </c>
      <c r="O39" s="6">
        <f>IFERROR(100/(L39+1),"")</f>
        <v>0.66225165562913912</v>
      </c>
      <c r="P39" s="5" t="s">
        <v>1932</v>
      </c>
      <c r="Q39" s="4">
        <v>131500</v>
      </c>
      <c r="R39" s="4">
        <v>2386</v>
      </c>
      <c r="S39" s="4">
        <v>123</v>
      </c>
      <c r="T39" s="4">
        <v>17</v>
      </c>
      <c r="U39" s="4">
        <v>8</v>
      </c>
      <c r="V39" s="4">
        <v>23600</v>
      </c>
      <c r="W39" s="4">
        <v>15</v>
      </c>
      <c r="X39" s="1" t="s">
        <v>1931</v>
      </c>
      <c r="Y39" s="1" t="s">
        <v>1930</v>
      </c>
      <c r="Z39" s="3">
        <v>45407.206620370373</v>
      </c>
      <c r="AA39" s="2" t="s">
        <v>1929</v>
      </c>
      <c r="AB39" s="1" t="s">
        <v>1928</v>
      </c>
    </row>
    <row r="40" spans="1:28">
      <c r="A40" s="4">
        <v>38</v>
      </c>
      <c r="B40" s="1" t="s">
        <v>1927</v>
      </c>
      <c r="C40" s="1" t="s">
        <v>1922</v>
      </c>
      <c r="D40" s="5" t="s">
        <v>1926</v>
      </c>
      <c r="E40" s="1" t="s">
        <v>1925</v>
      </c>
      <c r="F40" s="1" t="s">
        <v>1924</v>
      </c>
      <c r="G40" s="10"/>
      <c r="H40" s="10" t="str">
        <f>IF(Q40&lt;100000,"1.마이크로-10만명 미만","2.메가-10만명 이상")</f>
        <v>1.마이크로-10만명 미만</v>
      </c>
      <c r="I40" s="10" t="str">
        <f ca="1">IFERROR(__xludf.DUMMYFUNCTION("iferror(REGEXEXTRACT(E40,""[a-zA-Z0-9._%+-]+@[a-zA-Z0-9.-]+\.[a-zA-Z]{2,}""),""2.이메일 없음"")"),"summerchristie9@gmail.com")</f>
        <v>summerchristie9@gmail.com</v>
      </c>
      <c r="J40" s="10">
        <f>IFERROR((S40+T40+U40)/V40,"")</f>
        <v>8.3283132530120475E-3</v>
      </c>
      <c r="K40" s="9">
        <f>IFERROR(U40/V40,"")</f>
        <v>2.4096385542168674E-4</v>
      </c>
      <c r="L40" s="8">
        <f>IFERROR(MIN(Q40/1000*1.5, 150),"")</f>
        <v>128.39999999999998</v>
      </c>
      <c r="M40" s="7">
        <f>IFERROR(V40/Q40,"")</f>
        <v>0.77570093457943923</v>
      </c>
      <c r="N40" s="6">
        <f>IFERROR((S40+U40)/Q40,"")</f>
        <v>5.7476635514018696E-3</v>
      </c>
      <c r="O40" s="6">
        <f>IFERROR(100/(L40+1),"")</f>
        <v>0.7727975270479136</v>
      </c>
      <c r="P40" s="5" t="s">
        <v>1923</v>
      </c>
      <c r="Q40" s="4">
        <v>85600</v>
      </c>
      <c r="R40" s="4">
        <v>4441</v>
      </c>
      <c r="S40" s="4">
        <v>476</v>
      </c>
      <c r="T40" s="4">
        <v>61</v>
      </c>
      <c r="U40" s="4">
        <v>16</v>
      </c>
      <c r="V40" s="4">
        <v>66400</v>
      </c>
      <c r="W40" s="4">
        <v>38</v>
      </c>
      <c r="X40" s="1" t="s">
        <v>23</v>
      </c>
      <c r="Y40" s="1" t="s">
        <v>1922</v>
      </c>
      <c r="Z40" s="3">
        <v>45608.032164351855</v>
      </c>
      <c r="AA40" s="2" t="s">
        <v>1921</v>
      </c>
      <c r="AB40" s="1" t="s">
        <v>1920</v>
      </c>
    </row>
    <row r="41" spans="1:28">
      <c r="A41" s="4">
        <v>39</v>
      </c>
      <c r="B41" s="1" t="s">
        <v>1919</v>
      </c>
      <c r="C41" s="1" t="s">
        <v>1914</v>
      </c>
      <c r="D41" s="5" t="s">
        <v>1918</v>
      </c>
      <c r="E41" s="1" t="s">
        <v>1917</v>
      </c>
      <c r="F41" s="1" t="s">
        <v>1916</v>
      </c>
      <c r="G41" s="10"/>
      <c r="H41" s="10" t="str">
        <f>IF(Q41&lt;100000,"1.마이크로-10만명 미만","2.메가-10만명 이상")</f>
        <v>1.마이크로-10만명 미만</v>
      </c>
      <c r="I41" s="10" t="str">
        <f ca="1">IFERROR(__xludf.DUMMYFUNCTION("iferror(REGEXEXTRACT(E41,""[a-zA-Z0-9._%+-]+@[a-zA-Z0-9.-]+\.[a-zA-Z]{2,}""),""2.이메일 없음"")"),"vmeghanact@gmail.com")</f>
        <v>vmeghanact@gmail.com</v>
      </c>
      <c r="J41" s="10">
        <f>IFERROR((S41+T41+U41)/V41,"")</f>
        <v>8.9810017271157172E-3</v>
      </c>
      <c r="K41" s="9">
        <f>IFERROR(U41/V41,"")</f>
        <v>1.2953367875647668E-4</v>
      </c>
      <c r="L41" s="8">
        <f>IFERROR(MIN(Q41/1000*1.5, 150),"")</f>
        <v>70.800000000000011</v>
      </c>
      <c r="M41" s="7">
        <f>IFERROR(V41/Q41,"")</f>
        <v>2.4533898305084745</v>
      </c>
      <c r="N41" s="6">
        <f>IFERROR((S41+U41)/Q41,"")</f>
        <v>1.6122881355932202E-2</v>
      </c>
      <c r="O41" s="6">
        <f>IFERROR(100/(L41+1),"")</f>
        <v>1.3927576601671308</v>
      </c>
      <c r="P41" s="5" t="s">
        <v>1915</v>
      </c>
      <c r="Q41" s="4">
        <v>47200</v>
      </c>
      <c r="R41" s="4">
        <v>856</v>
      </c>
      <c r="S41" s="4">
        <v>746</v>
      </c>
      <c r="T41" s="4">
        <v>279</v>
      </c>
      <c r="U41" s="4">
        <v>15</v>
      </c>
      <c r="V41" s="4">
        <v>115800</v>
      </c>
      <c r="W41" s="4">
        <v>17</v>
      </c>
      <c r="X41" s="1" t="s">
        <v>23</v>
      </c>
      <c r="Y41" s="1" t="s">
        <v>1914</v>
      </c>
      <c r="Z41" s="3">
        <v>45607.130289351851</v>
      </c>
      <c r="AA41" s="2" t="s">
        <v>1913</v>
      </c>
      <c r="AB41" s="1" t="s">
        <v>1912</v>
      </c>
    </row>
    <row r="42" spans="1:28">
      <c r="A42" s="4">
        <v>40</v>
      </c>
      <c r="B42" s="1" t="s">
        <v>1911</v>
      </c>
      <c r="C42" s="1" t="s">
        <v>1910</v>
      </c>
      <c r="D42" s="5" t="s">
        <v>1909</v>
      </c>
      <c r="E42" s="1" t="s">
        <v>1908</v>
      </c>
      <c r="F42" s="1" t="s">
        <v>1907</v>
      </c>
      <c r="G42" s="10"/>
      <c r="H42" s="10" t="str">
        <f>IF(Q42&lt;100000,"1.마이크로-10만명 미만","2.메가-10만명 이상")</f>
        <v>1.마이크로-10만명 미만</v>
      </c>
      <c r="I42" s="10" t="str">
        <f ca="1">IFERROR(__xludf.DUMMYFUNCTION("iferror(REGEXEXTRACT(E42,""[a-zA-Z0-9._%+-]+@[a-zA-Z0-9.-]+\.[a-zA-Z]{2,}""),""2.이메일 없음"")"),"emmadoslak@gmail.com")</f>
        <v>emmadoslak@gmail.com</v>
      </c>
      <c r="J42" s="10">
        <f>IFERROR((S42+T42+U42)/V42,"")</f>
        <v>7.3336371923427533E-3</v>
      </c>
      <c r="K42" s="9">
        <f>IFERROR(U42/V42,"")</f>
        <v>9.5715587967183229E-5</v>
      </c>
      <c r="L42" s="8">
        <f>IFERROR(MIN(Q42/1000*1.5, 150),"")</f>
        <v>26.400000000000002</v>
      </c>
      <c r="M42" s="7">
        <f>IFERROR(V42/Q42,"")</f>
        <v>12.465909090909092</v>
      </c>
      <c r="N42" s="6">
        <f>IFERROR((S42+U42)/Q42,"")</f>
        <v>8.7784090909090909E-2</v>
      </c>
      <c r="O42" s="6">
        <f>IFERROR(100/(L42+1),"")</f>
        <v>3.6496350364963499</v>
      </c>
      <c r="P42" s="5" t="s">
        <v>1906</v>
      </c>
      <c r="Q42" s="4">
        <v>17600</v>
      </c>
      <c r="R42" s="4">
        <v>806</v>
      </c>
      <c r="S42" s="4">
        <v>1524</v>
      </c>
      <c r="T42" s="4">
        <v>64</v>
      </c>
      <c r="U42" s="4">
        <v>21</v>
      </c>
      <c r="V42" s="4">
        <v>219400</v>
      </c>
      <c r="W42" s="4">
        <v>11</v>
      </c>
      <c r="X42" s="1" t="s">
        <v>1905</v>
      </c>
      <c r="Y42" s="1" t="s">
        <v>176</v>
      </c>
      <c r="Z42" s="3">
        <v>45587.254502314812</v>
      </c>
      <c r="AA42" s="2" t="s">
        <v>1904</v>
      </c>
      <c r="AB42" s="1" t="s">
        <v>1903</v>
      </c>
    </row>
    <row r="43" spans="1:28">
      <c r="A43" s="4">
        <v>41</v>
      </c>
      <c r="B43" s="1" t="s">
        <v>1902</v>
      </c>
      <c r="C43" s="1" t="s">
        <v>1897</v>
      </c>
      <c r="D43" s="5" t="s">
        <v>1901</v>
      </c>
      <c r="E43" s="1" t="s">
        <v>1900</v>
      </c>
      <c r="F43" s="1" t="s">
        <v>1899</v>
      </c>
      <c r="G43" s="10"/>
      <c r="H43" s="10" t="str">
        <f>IF(Q43&lt;100000,"1.마이크로-10만명 미만","2.메가-10만명 이상")</f>
        <v>1.마이크로-10만명 미만</v>
      </c>
      <c r="I43" s="10" t="str">
        <f ca="1">IFERROR(__xludf.DUMMYFUNCTION("iferror(REGEXEXTRACT(E43,""[a-zA-Z0-9._%+-]+@[a-zA-Z0-9.-]+\.[a-zA-Z]{2,}""),""2.이메일 없음"")"),"alyssahoward@shinetalentgroup.com")</f>
        <v>alyssahoward@shinetalentgroup.com</v>
      </c>
      <c r="J43" s="10">
        <f>IFERROR((S43+T43+U43)/V43,"")</f>
        <v>3.1951219512195123E-2</v>
      </c>
      <c r="K43" s="9">
        <f>IFERROR(U43/V43,"")</f>
        <v>8.1300813008130081E-4</v>
      </c>
      <c r="L43" s="8">
        <f>IFERROR(MIN(Q43/1000*1.5, 150),"")</f>
        <v>115.05000000000001</v>
      </c>
      <c r="M43" s="7">
        <f>IFERROR(V43/Q43,"")</f>
        <v>0.16036505867014342</v>
      </c>
      <c r="N43" s="6">
        <f>IFERROR((S43+U43)/Q43,"")</f>
        <v>4.8761408083441982E-3</v>
      </c>
      <c r="O43" s="6">
        <f>IFERROR(100/(L43+1),"")</f>
        <v>0.86169754416199906</v>
      </c>
      <c r="P43" s="5" t="s">
        <v>1898</v>
      </c>
      <c r="Q43" s="4">
        <v>76700</v>
      </c>
      <c r="R43" s="4">
        <v>785</v>
      </c>
      <c r="S43" s="4">
        <v>364</v>
      </c>
      <c r="T43" s="4">
        <v>19</v>
      </c>
      <c r="U43" s="4">
        <v>10</v>
      </c>
      <c r="V43" s="4">
        <v>12300</v>
      </c>
      <c r="W43" s="4">
        <v>30</v>
      </c>
      <c r="X43" s="1" t="s">
        <v>23</v>
      </c>
      <c r="Y43" s="1" t="s">
        <v>1897</v>
      </c>
      <c r="Z43" s="3">
        <v>45826.436932870369</v>
      </c>
      <c r="AA43" s="2" t="s">
        <v>1896</v>
      </c>
      <c r="AB43" s="1" t="s">
        <v>1895</v>
      </c>
    </row>
    <row r="44" spans="1:28">
      <c r="A44" s="4">
        <v>42</v>
      </c>
      <c r="B44" s="1" t="s">
        <v>1894</v>
      </c>
      <c r="C44" s="1" t="s">
        <v>1889</v>
      </c>
      <c r="D44" s="5" t="s">
        <v>1893</v>
      </c>
      <c r="E44" s="1" t="s">
        <v>1892</v>
      </c>
      <c r="F44" s="1" t="s">
        <v>1891</v>
      </c>
      <c r="G44" s="10"/>
      <c r="H44" s="10" t="str">
        <f>IF(Q44&lt;100000,"1.마이크로-10만명 미만","2.메가-10만명 이상")</f>
        <v>1.마이크로-10만명 미만</v>
      </c>
      <c r="I44" s="10" t="str">
        <f ca="1">IFERROR(__xludf.DUMMYFUNCTION("iferror(REGEXEXTRACT(E44,""[a-zA-Z0-9._%+-]+@[a-zA-Z0-9.-]+\.[a-zA-Z]{2,}""),""2.이메일 없음"")"),"emilymetaxas.collabs@gmail.com")</f>
        <v>emilymetaxas.collabs@gmail.com</v>
      </c>
      <c r="J44" s="10">
        <f>IFERROR((S44+T44+U44)/V44,"")</f>
        <v>1.1219512195121951E-2</v>
      </c>
      <c r="K44" s="9">
        <f>IFERROR(U44/V44,"")</f>
        <v>7.3170731707317073E-4</v>
      </c>
      <c r="L44" s="8">
        <f>IFERROR(MIN(Q44/1000*1.5, 150),"")</f>
        <v>28.349999999999998</v>
      </c>
      <c r="M44" s="7">
        <f>IFERROR(V44/Q44,"")</f>
        <v>0.65079365079365081</v>
      </c>
      <c r="N44" s="6">
        <f>IFERROR((S44+U44)/Q44,"")</f>
        <v>5.7671957671957671E-3</v>
      </c>
      <c r="O44" s="6">
        <f>IFERROR(100/(L44+1),"")</f>
        <v>3.4071550255536631</v>
      </c>
      <c r="P44" s="5" t="s">
        <v>1890</v>
      </c>
      <c r="Q44" s="4">
        <v>18900</v>
      </c>
      <c r="R44" s="4">
        <v>1466</v>
      </c>
      <c r="S44" s="4">
        <v>100</v>
      </c>
      <c r="T44" s="4">
        <v>29</v>
      </c>
      <c r="U44" s="4">
        <v>9</v>
      </c>
      <c r="V44" s="4">
        <v>12300</v>
      </c>
      <c r="W44" s="4">
        <v>23</v>
      </c>
      <c r="X44" s="1" t="s">
        <v>23</v>
      </c>
      <c r="Y44" s="1" t="s">
        <v>1889</v>
      </c>
      <c r="Z44" s="3">
        <v>45539.16946759259</v>
      </c>
      <c r="AA44" s="2" t="s">
        <v>1888</v>
      </c>
      <c r="AB44" s="1" t="s">
        <v>1887</v>
      </c>
    </row>
    <row r="45" spans="1:28">
      <c r="A45" s="4">
        <v>43</v>
      </c>
      <c r="B45" s="1" t="s">
        <v>1886</v>
      </c>
      <c r="C45" s="1" t="s">
        <v>1881</v>
      </c>
      <c r="D45" s="5" t="s">
        <v>1885</v>
      </c>
      <c r="E45" s="1" t="s">
        <v>1884</v>
      </c>
      <c r="F45" s="1" t="s">
        <v>1883</v>
      </c>
      <c r="G45" s="10"/>
      <c r="H45" s="10" t="str">
        <f>IF(Q45&lt;100000,"1.마이크로-10만명 미만","2.메가-10만명 이상")</f>
        <v>2.메가-10만명 이상</v>
      </c>
      <c r="I45" s="10" t="str">
        <f ca="1">IFERROR(__xludf.DUMMYFUNCTION("iferror(REGEXEXTRACT(E45,""[a-zA-Z0-9._%+-]+@[a-zA-Z0-9.-]+\.[a-zA-Z]{2,}""),""2.이메일 없음"")"),"curliecrys@gmail.com")</f>
        <v>curliecrys@gmail.com</v>
      </c>
      <c r="J45" s="10">
        <f>IFERROR((S45+T45+U45)/V45,"")</f>
        <v>2.2760416666666668E-2</v>
      </c>
      <c r="K45" s="9">
        <f>IFERROR(U45/V45,"")</f>
        <v>4.6223958333333333E-4</v>
      </c>
      <c r="L45" s="8">
        <f>IFERROR(MIN(Q45/1000*1.5, 150),"")</f>
        <v>150</v>
      </c>
      <c r="M45" s="7">
        <f>IFERROR(V45/Q45,"")</f>
        <v>0.23928960897336032</v>
      </c>
      <c r="N45" s="6">
        <f>IFERROR((S45+U45)/Q45,"")</f>
        <v>5.1612400685465028E-3</v>
      </c>
      <c r="O45" s="6">
        <f>IFERROR(100/(L45+1),"")</f>
        <v>0.66225165562913912</v>
      </c>
      <c r="P45" s="5" t="s">
        <v>1882</v>
      </c>
      <c r="Q45" s="4">
        <v>641900</v>
      </c>
      <c r="R45" s="4">
        <v>737</v>
      </c>
      <c r="S45" s="4">
        <v>3242</v>
      </c>
      <c r="T45" s="4">
        <v>183</v>
      </c>
      <c r="U45" s="4">
        <v>71</v>
      </c>
      <c r="V45" s="4">
        <v>153600</v>
      </c>
      <c r="W45" s="4">
        <v>33</v>
      </c>
      <c r="X45" s="1" t="s">
        <v>23</v>
      </c>
      <c r="Y45" s="1" t="s">
        <v>1881</v>
      </c>
      <c r="Z45" s="3">
        <v>45232.206712962965</v>
      </c>
      <c r="AA45" s="2" t="s">
        <v>1880</v>
      </c>
      <c r="AB45" s="1" t="s">
        <v>1879</v>
      </c>
    </row>
    <row r="46" spans="1:28">
      <c r="A46" s="4">
        <v>44</v>
      </c>
      <c r="B46" s="1" t="s">
        <v>1878</v>
      </c>
      <c r="C46" s="1" t="s">
        <v>1877</v>
      </c>
      <c r="D46" s="5" t="s">
        <v>1876</v>
      </c>
      <c r="E46" s="1" t="s">
        <v>1875</v>
      </c>
      <c r="F46" s="1" t="s">
        <v>1874</v>
      </c>
      <c r="G46" s="10"/>
      <c r="H46" s="10" t="str">
        <f>IF(Q46&lt;100000,"1.마이크로-10만명 미만","2.메가-10만명 이상")</f>
        <v>1.마이크로-10만명 미만</v>
      </c>
      <c r="I46" s="10" t="str">
        <f ca="1">IFERROR(__xludf.DUMMYFUNCTION("iferror(REGEXEXTRACT(E46,""[a-zA-Z0-9._%+-]+@[a-zA-Z0-9.-]+\.[a-zA-Z]{2,}""),""2.이메일 없음"")"),"chelseastone222@gmail.com")</f>
        <v>chelseastone222@gmail.com</v>
      </c>
      <c r="J46" s="10">
        <f>IFERROR((S46+T46+U46)/V46,"")</f>
        <v>7.7923057581091278E-3</v>
      </c>
      <c r="K46" s="9">
        <f>IFERROR(U46/V46,"")</f>
        <v>7.5433744028161937E-5</v>
      </c>
      <c r="L46" s="8">
        <f>IFERROR(MIN(Q46/1000*1.5, 150),"")</f>
        <v>13.274999999999999</v>
      </c>
      <c r="M46" s="7">
        <f>IFERROR(V46/Q46,"")</f>
        <v>89.875706214689259</v>
      </c>
      <c r="N46" s="6">
        <f>IFERROR((S46+U46)/Q46,"")</f>
        <v>0.66316384180790966</v>
      </c>
      <c r="O46" s="6">
        <f>IFERROR(100/(L46+1),"")</f>
        <v>7.0052539404553418</v>
      </c>
      <c r="P46" s="5" t="s">
        <v>1873</v>
      </c>
      <c r="Q46" s="4">
        <v>8850</v>
      </c>
      <c r="R46" s="4">
        <v>614</v>
      </c>
      <c r="S46" s="4">
        <v>5809</v>
      </c>
      <c r="T46" s="4">
        <v>329</v>
      </c>
      <c r="U46" s="4">
        <v>60</v>
      </c>
      <c r="V46" s="4">
        <v>795400</v>
      </c>
      <c r="W46" s="4">
        <v>11</v>
      </c>
      <c r="X46" s="1" t="s">
        <v>1872</v>
      </c>
      <c r="Y46" s="1" t="s">
        <v>1871</v>
      </c>
      <c r="Z46" s="3">
        <v>45202.185185185182</v>
      </c>
      <c r="AA46" s="2" t="s">
        <v>1870</v>
      </c>
      <c r="AB46" s="1" t="s">
        <v>1869</v>
      </c>
    </row>
    <row r="47" spans="1:28">
      <c r="A47" s="4">
        <v>45</v>
      </c>
      <c r="B47" s="1" t="s">
        <v>1868</v>
      </c>
      <c r="C47" s="1" t="s">
        <v>1863</v>
      </c>
      <c r="D47" s="5" t="s">
        <v>1867</v>
      </c>
      <c r="E47" s="1" t="s">
        <v>1866</v>
      </c>
      <c r="F47" s="1" t="s">
        <v>1865</v>
      </c>
      <c r="G47" s="10"/>
      <c r="H47" s="10" t="str">
        <f>IF(Q47&lt;100000,"1.마이크로-10만명 미만","2.메가-10만명 이상")</f>
        <v>1.마이크로-10만명 미만</v>
      </c>
      <c r="I47" s="10" t="str">
        <f ca="1">IFERROR(__xludf.DUMMYFUNCTION("iferror(REGEXEXTRACT(E47,""[a-zA-Z0-9._%+-]+@[a-zA-Z0-9.-]+\.[a-zA-Z]{2,}""),""2.이메일 없음"")"),"2.이메일 없음")</f>
        <v>2.이메일 없음</v>
      </c>
      <c r="J47" s="10">
        <f>IFERROR((S47+T47+U47)/V47,"")</f>
        <v>1.0194174757281554E-2</v>
      </c>
      <c r="K47" s="9">
        <f>IFERROR(U47/V47,"")</f>
        <v>4.8543689320388347E-4</v>
      </c>
      <c r="L47" s="8">
        <f>IFERROR(MIN(Q47/1000*1.5, 150),"")</f>
        <v>36.599999999999994</v>
      </c>
      <c r="M47" s="7">
        <f>IFERROR(V47/Q47,"")</f>
        <v>0.42213114754098363</v>
      </c>
      <c r="N47" s="6">
        <f>IFERROR((S47+U47)/Q47,"")</f>
        <v>3.6475409836065572E-3</v>
      </c>
      <c r="O47" s="6">
        <f>IFERROR(100/(L47+1),"")</f>
        <v>2.6595744680851068</v>
      </c>
      <c r="P47" s="5" t="s">
        <v>1864</v>
      </c>
      <c r="Q47" s="4">
        <v>24400</v>
      </c>
      <c r="R47" s="4">
        <v>63</v>
      </c>
      <c r="S47" s="4">
        <v>84</v>
      </c>
      <c r="T47" s="4">
        <v>16</v>
      </c>
      <c r="U47" s="4">
        <v>5</v>
      </c>
      <c r="V47" s="4">
        <v>10300</v>
      </c>
      <c r="W47" s="4">
        <v>36</v>
      </c>
      <c r="X47" s="1" t="s">
        <v>23</v>
      </c>
      <c r="Y47" s="1" t="s">
        <v>1863</v>
      </c>
      <c r="Z47" s="3">
        <v>45349.892002314817</v>
      </c>
      <c r="AA47" s="2" t="s">
        <v>1862</v>
      </c>
      <c r="AB47" s="1" t="s">
        <v>1861</v>
      </c>
    </row>
    <row r="48" spans="1:28">
      <c r="A48" s="4">
        <v>46</v>
      </c>
      <c r="B48" s="1" t="s">
        <v>1860</v>
      </c>
      <c r="C48" s="1" t="s">
        <v>1855</v>
      </c>
      <c r="D48" s="5" t="s">
        <v>1859</v>
      </c>
      <c r="E48" s="1" t="s">
        <v>1858</v>
      </c>
      <c r="F48" s="1" t="s">
        <v>1857</v>
      </c>
      <c r="G48" s="10"/>
      <c r="H48" s="10" t="str">
        <f>IF(Q48&lt;100000,"1.마이크로-10만명 미만","2.메가-10만명 이상")</f>
        <v>1.마이크로-10만명 미만</v>
      </c>
      <c r="I48" s="10" t="str">
        <f ca="1">IFERROR(__xludf.DUMMYFUNCTION("iferror(REGEXEXTRACT(E48,""[a-zA-Z0-9._%+-]+@[a-zA-Z0-9.-]+\.[a-zA-Z]{2,}""),""2.이메일 없음"")"),"krissymeridieth3@gmail.com")</f>
        <v>krissymeridieth3@gmail.com</v>
      </c>
      <c r="J48" s="10">
        <f>IFERROR((S48+T48+U48)/V48,"")</f>
        <v>7.4999999999999997E-3</v>
      </c>
      <c r="K48" s="9">
        <f>IFERROR(U48/V48,"")</f>
        <v>6.1881188118811882E-4</v>
      </c>
      <c r="L48" s="8">
        <f>IFERROR(MIN(Q48/1000*1.5, 150),"")</f>
        <v>3.8789999999999996</v>
      </c>
      <c r="M48" s="7">
        <f>IFERROR(V48/Q48,"")</f>
        <v>15.622583139984533</v>
      </c>
      <c r="N48" s="6">
        <f>IFERROR((S48+U48)/Q48,"")</f>
        <v>0.10054137664346481</v>
      </c>
      <c r="O48" s="6">
        <f>IFERROR(100/(L48+1),"")</f>
        <v>20.496003279360526</v>
      </c>
      <c r="P48" s="5" t="s">
        <v>1856</v>
      </c>
      <c r="Q48" s="4">
        <v>2586</v>
      </c>
      <c r="R48" s="4">
        <v>994</v>
      </c>
      <c r="S48" s="4">
        <v>235</v>
      </c>
      <c r="T48" s="4">
        <v>43</v>
      </c>
      <c r="U48" s="4">
        <v>25</v>
      </c>
      <c r="V48" s="4">
        <v>40400</v>
      </c>
      <c r="W48" s="4">
        <v>32</v>
      </c>
      <c r="X48" s="1" t="s">
        <v>23</v>
      </c>
      <c r="Y48" s="1" t="s">
        <v>1855</v>
      </c>
      <c r="Z48" s="3">
        <v>45362.995428240742</v>
      </c>
      <c r="AA48" s="2" t="s">
        <v>1854</v>
      </c>
      <c r="AB48" s="1" t="s">
        <v>1853</v>
      </c>
    </row>
    <row r="49" spans="1:28">
      <c r="A49" s="4">
        <v>47</v>
      </c>
      <c r="B49" s="1" t="s">
        <v>1852</v>
      </c>
      <c r="C49" s="1" t="s">
        <v>1851</v>
      </c>
      <c r="D49" s="5" t="s">
        <v>1850</v>
      </c>
      <c r="E49" s="1" t="s">
        <v>1849</v>
      </c>
      <c r="F49" s="1" t="s">
        <v>1848</v>
      </c>
      <c r="G49" s="10"/>
      <c r="H49" s="10" t="str">
        <f>IF(Q49&lt;100000,"1.마이크로-10만명 미만","2.메가-10만명 이상")</f>
        <v>1.마이크로-10만명 미만</v>
      </c>
      <c r="I49" s="10" t="str">
        <f ca="1">IFERROR(__xludf.DUMMYFUNCTION("iferror(REGEXEXTRACT(E49,""[a-zA-Z0-9._%+-]+@[a-zA-Z0-9.-]+\.[a-zA-Z]{2,}""),""2.이메일 없음"")"),"leiannemarig@gmail.com")</f>
        <v>leiannemarig@gmail.com</v>
      </c>
      <c r="J49" s="10">
        <f>IFERROR((S49+T49+U49)/V49,"")</f>
        <v>1.4013806706114398E-2</v>
      </c>
      <c r="K49" s="9">
        <f>IFERROR(U49/V49,"")</f>
        <v>1.3214990138067062E-4</v>
      </c>
      <c r="L49" s="8">
        <f>IFERROR(MIN(Q49/1000*1.5, 150),"")</f>
        <v>29.849999999999998</v>
      </c>
      <c r="M49" s="7">
        <f>IFERROR(V49/Q49,"")</f>
        <v>25.477386934673365</v>
      </c>
      <c r="N49" s="6">
        <f>IFERROR((S49+U49)/Q49,"")</f>
        <v>0.3398994974874372</v>
      </c>
      <c r="O49" s="6">
        <f>IFERROR(100/(L49+1),"")</f>
        <v>3.2414910858995141</v>
      </c>
      <c r="P49" s="5" t="s">
        <v>1847</v>
      </c>
      <c r="Q49" s="4">
        <v>19900</v>
      </c>
      <c r="R49" s="4">
        <v>110</v>
      </c>
      <c r="S49" s="4">
        <v>6697</v>
      </c>
      <c r="T49" s="4">
        <v>341</v>
      </c>
      <c r="U49" s="4">
        <v>67</v>
      </c>
      <c r="V49" s="4">
        <v>507000</v>
      </c>
      <c r="W49" s="4">
        <v>45</v>
      </c>
      <c r="X49" s="1" t="s">
        <v>249</v>
      </c>
      <c r="Y49" s="1" t="s">
        <v>248</v>
      </c>
      <c r="Z49" s="3">
        <v>45539.323657407411</v>
      </c>
      <c r="AA49" s="2" t="s">
        <v>1846</v>
      </c>
      <c r="AB49" s="1" t="s">
        <v>1845</v>
      </c>
    </row>
    <row r="50" spans="1:28">
      <c r="A50" s="4">
        <v>48</v>
      </c>
      <c r="B50" s="1" t="s">
        <v>1844</v>
      </c>
      <c r="C50" s="1" t="s">
        <v>1843</v>
      </c>
      <c r="D50" s="5" t="s">
        <v>1842</v>
      </c>
      <c r="E50" s="1" t="s">
        <v>1841</v>
      </c>
      <c r="F50" s="1" t="s">
        <v>1840</v>
      </c>
      <c r="G50" s="10"/>
      <c r="H50" s="10" t="str">
        <f>IF(Q50&lt;100000,"1.마이크로-10만명 미만","2.메가-10만명 이상")</f>
        <v>2.메가-10만명 이상</v>
      </c>
      <c r="I50" s="10" t="str">
        <f ca="1">IFERROR(__xludf.DUMMYFUNCTION("iferror(REGEXEXTRACT(E50,""[a-zA-Z0-9._%+-]+@[a-zA-Z0-9.-]+\.[a-zA-Z]{2,}""),""2.이메일 없음"")"),"2.이메일 없음")</f>
        <v>2.이메일 없음</v>
      </c>
      <c r="J50" s="10">
        <f>IFERROR((S50+T50+U50)/V50,"")</f>
        <v>7.625757575757576E-2</v>
      </c>
      <c r="K50" s="9">
        <f>IFERROR(U50/V50,"")</f>
        <v>2.1212121212121213E-4</v>
      </c>
      <c r="L50" s="8">
        <f>IFERROR(MIN(Q50/1000*1.5, 150),"")</f>
        <v>150</v>
      </c>
      <c r="M50" s="7">
        <f>IFERROR(V50/Q50,"")</f>
        <v>1.7837837837837838</v>
      </c>
      <c r="N50" s="6">
        <f>IFERROR((S50+U50)/Q50,"")</f>
        <v>0.13248648648648648</v>
      </c>
      <c r="O50" s="6">
        <f>IFERROR(100/(L50+1),"")</f>
        <v>0.66225165562913912</v>
      </c>
      <c r="P50" s="5" t="s">
        <v>1839</v>
      </c>
      <c r="Q50" s="4">
        <v>3700000</v>
      </c>
      <c r="R50" s="4">
        <v>237</v>
      </c>
      <c r="S50" s="4">
        <v>488800</v>
      </c>
      <c r="T50" s="4">
        <v>13100</v>
      </c>
      <c r="U50" s="4">
        <v>1400</v>
      </c>
      <c r="V50" s="4">
        <v>6600000</v>
      </c>
      <c r="W50" s="4">
        <v>6</v>
      </c>
      <c r="X50" s="1" t="s">
        <v>1279</v>
      </c>
      <c r="Y50" s="1" t="s">
        <v>1278</v>
      </c>
      <c r="Z50" s="3">
        <v>45518.064120370371</v>
      </c>
      <c r="AA50" s="2" t="s">
        <v>1838</v>
      </c>
      <c r="AB50" s="1" t="s">
        <v>1837</v>
      </c>
    </row>
    <row r="51" spans="1:28">
      <c r="A51" s="4">
        <v>49</v>
      </c>
      <c r="B51" s="1" t="s">
        <v>1832</v>
      </c>
      <c r="C51" s="1" t="s">
        <v>1832</v>
      </c>
      <c r="D51" s="5" t="s">
        <v>1836</v>
      </c>
      <c r="E51" s="1" t="s">
        <v>1835</v>
      </c>
      <c r="F51" s="1" t="s">
        <v>1834</v>
      </c>
      <c r="G51" s="10"/>
      <c r="H51" s="10" t="str">
        <f>IF(Q51&lt;100000,"1.마이크로-10만명 미만","2.메가-10만명 이상")</f>
        <v>1.마이크로-10만명 미만</v>
      </c>
      <c r="I51" s="10" t="str">
        <f ca="1">IFERROR(__xludf.DUMMYFUNCTION("iferror(REGEXEXTRACT(E51,""[a-zA-Z0-9._%+-]+@[a-zA-Z0-9.-]+\.[a-zA-Z]{2,}""),""2.이메일 없음"")"),"Hijessarakelyan@gmail.com")</f>
        <v>Hijessarakelyan@gmail.com</v>
      </c>
      <c r="J51" s="10">
        <f>IFERROR((S51+T51+U51)/V51,"")</f>
        <v>1.7696440564137005E-2</v>
      </c>
      <c r="K51" s="9">
        <f>IFERROR(U51/V51,"")</f>
        <v>2.216252518468771E-4</v>
      </c>
      <c r="L51" s="8">
        <f>IFERROR(MIN(Q51/1000*1.5, 150),"")</f>
        <v>57</v>
      </c>
      <c r="M51" s="7">
        <f>IFERROR(V51/Q51,"")</f>
        <v>11.755263157894737</v>
      </c>
      <c r="N51" s="6">
        <f>IFERROR((S51+U51)/Q51,"")</f>
        <v>0.17747368421052631</v>
      </c>
      <c r="O51" s="6">
        <f>IFERROR(100/(L51+1),"")</f>
        <v>1.7241379310344827</v>
      </c>
      <c r="P51" s="5" t="s">
        <v>1833</v>
      </c>
      <c r="Q51" s="4">
        <v>38000</v>
      </c>
      <c r="R51" s="4">
        <v>1533</v>
      </c>
      <c r="S51" s="4">
        <v>6645</v>
      </c>
      <c r="T51" s="4">
        <v>1161</v>
      </c>
      <c r="U51" s="4">
        <v>99</v>
      </c>
      <c r="V51" s="4">
        <v>446700</v>
      </c>
      <c r="W51" s="4">
        <v>25</v>
      </c>
      <c r="X51" s="1" t="s">
        <v>23</v>
      </c>
      <c r="Y51" s="1" t="s">
        <v>1832</v>
      </c>
      <c r="Z51" s="3">
        <v>45700.240428240744</v>
      </c>
      <c r="AA51" s="2" t="s">
        <v>1831</v>
      </c>
      <c r="AB51" s="1" t="s">
        <v>1830</v>
      </c>
    </row>
    <row r="52" spans="1:28">
      <c r="A52" s="4">
        <v>50</v>
      </c>
      <c r="B52" s="1" t="s">
        <v>1829</v>
      </c>
      <c r="C52" s="1" t="s">
        <v>1824</v>
      </c>
      <c r="D52" s="5" t="s">
        <v>1828</v>
      </c>
      <c r="E52" s="1" t="s">
        <v>1827</v>
      </c>
      <c r="F52" s="1" t="s">
        <v>1826</v>
      </c>
      <c r="G52" s="10"/>
      <c r="H52" s="10" t="str">
        <f>IF(Q52&lt;100000,"1.마이크로-10만명 미만","2.메가-10만명 이상")</f>
        <v>1.마이크로-10만명 미만</v>
      </c>
      <c r="I52" s="10" t="str">
        <f ca="1">IFERROR(__xludf.DUMMYFUNCTION("iferror(REGEXEXTRACT(E52,""[a-zA-Z0-9._%+-]+@[a-zA-Z0-9.-]+\.[a-zA-Z]{2,}""),""2.이메일 없음"")"),"2.이메일 없음")</f>
        <v>2.이메일 없음</v>
      </c>
      <c r="J52" s="10">
        <f>IFERROR((S52+T52+U52)/V52,"")</f>
        <v>8.5153764581124072E-3</v>
      </c>
      <c r="K52" s="9">
        <f>IFERROR(U52/V52,"")</f>
        <v>2.9692470837751854E-4</v>
      </c>
      <c r="L52" s="8">
        <f>IFERROR(MIN(Q52/1000*1.5, 150),"")</f>
        <v>21.15</v>
      </c>
      <c r="M52" s="7">
        <f>IFERROR(V52/Q52,"")</f>
        <v>6.6879432624113475</v>
      </c>
      <c r="N52" s="6">
        <f>IFERROR((S52+U52)/Q52,"")</f>
        <v>4.1914893617021276E-2</v>
      </c>
      <c r="O52" s="6">
        <f>IFERROR(100/(L52+1),"")</f>
        <v>4.5146726862302486</v>
      </c>
      <c r="P52" s="5" t="s">
        <v>1825</v>
      </c>
      <c r="Q52" s="4">
        <v>14100</v>
      </c>
      <c r="R52" s="4">
        <v>1556</v>
      </c>
      <c r="S52" s="4">
        <v>563</v>
      </c>
      <c r="T52" s="4">
        <v>212</v>
      </c>
      <c r="U52" s="4">
        <v>28</v>
      </c>
      <c r="V52" s="4">
        <v>94300</v>
      </c>
      <c r="W52" s="4">
        <v>44</v>
      </c>
      <c r="X52" s="1" t="s">
        <v>23</v>
      </c>
      <c r="Y52" s="1" t="s">
        <v>1824</v>
      </c>
      <c r="Z52" s="3">
        <v>45573.308912037035</v>
      </c>
      <c r="AA52" s="2" t="s">
        <v>1823</v>
      </c>
      <c r="AB52" s="1" t="s">
        <v>1822</v>
      </c>
    </row>
    <row r="53" spans="1:28">
      <c r="A53" s="4">
        <v>51</v>
      </c>
      <c r="B53" s="1" t="s">
        <v>1821</v>
      </c>
      <c r="C53" s="1" t="s">
        <v>1816</v>
      </c>
      <c r="D53" s="5" t="s">
        <v>1820</v>
      </c>
      <c r="E53" s="1" t="s">
        <v>1819</v>
      </c>
      <c r="F53" s="1" t="s">
        <v>1818</v>
      </c>
      <c r="G53" s="10"/>
      <c r="H53" s="10" t="str">
        <f>IF(Q53&lt;100000,"1.마이크로-10만명 미만","2.메가-10만명 이상")</f>
        <v>2.메가-10만명 이상</v>
      </c>
      <c r="I53" s="10" t="str">
        <f ca="1">IFERROR(__xludf.DUMMYFUNCTION("iferror(REGEXEXTRACT(E53,""[a-zA-Z0-9._%+-]+@[a-zA-Z0-9.-]+\.[a-zA-Z]{2,}""),""2.이메일 없음"")"),"simranahadparvez@gmail.com")</f>
        <v>simranahadparvez@gmail.com</v>
      </c>
      <c r="J53" s="10">
        <f>IFERROR((S53+T53+U53)/V53,"")</f>
        <v>2.2030456852791879E-2</v>
      </c>
      <c r="K53" s="9">
        <f>IFERROR(U53/V53,"")</f>
        <v>3.0456852791878173E-4</v>
      </c>
      <c r="L53" s="8">
        <f>IFERROR(MIN(Q53/1000*1.5, 150),"")</f>
        <v>150</v>
      </c>
      <c r="M53" s="7">
        <f>IFERROR(V53/Q53,"")</f>
        <v>0.26717902350813744</v>
      </c>
      <c r="N53" s="6">
        <f>IFERROR((S53+U53)/Q53,"")</f>
        <v>5.6329113924050633E-3</v>
      </c>
      <c r="O53" s="6">
        <f>IFERROR(100/(L53+1),"")</f>
        <v>0.66225165562913912</v>
      </c>
      <c r="P53" s="5" t="s">
        <v>1817</v>
      </c>
      <c r="Q53" s="4">
        <v>221200</v>
      </c>
      <c r="R53" s="4">
        <v>1665</v>
      </c>
      <c r="S53" s="4">
        <v>1228</v>
      </c>
      <c r="T53" s="4">
        <v>56</v>
      </c>
      <c r="U53" s="4">
        <v>18</v>
      </c>
      <c r="V53" s="4">
        <v>59100</v>
      </c>
      <c r="W53" s="4">
        <v>15</v>
      </c>
      <c r="X53" s="1" t="s">
        <v>23</v>
      </c>
      <c r="Y53" s="1" t="s">
        <v>1816</v>
      </c>
      <c r="Z53" s="3">
        <v>45605.317546296297</v>
      </c>
      <c r="AA53" s="2" t="s">
        <v>1815</v>
      </c>
      <c r="AB53" s="1" t="s">
        <v>1814</v>
      </c>
    </row>
    <row r="54" spans="1:28">
      <c r="A54" s="4">
        <v>52</v>
      </c>
      <c r="B54" s="1" t="s">
        <v>1813</v>
      </c>
      <c r="C54" s="1" t="s">
        <v>1812</v>
      </c>
      <c r="D54" s="5" t="s">
        <v>1811</v>
      </c>
      <c r="E54" s="1" t="s">
        <v>1810</v>
      </c>
      <c r="F54" s="1" t="s">
        <v>1809</v>
      </c>
      <c r="G54" s="10"/>
      <c r="H54" s="10" t="str">
        <f>IF(Q54&lt;100000,"1.마이크로-10만명 미만","2.메가-10만명 이상")</f>
        <v>2.메가-10만명 이상</v>
      </c>
      <c r="I54" s="10" t="str">
        <f ca="1">IFERROR(__xludf.DUMMYFUNCTION("iferror(REGEXEXTRACT(E54,""[a-zA-Z0-9._%+-]+@[a-zA-Z0-9.-]+\.[a-zA-Z]{2,}""),""2.이메일 없음"")"),"anna2332@outlook.de")</f>
        <v>anna2332@outlook.de</v>
      </c>
      <c r="J54" s="10">
        <f>IFERROR((S54+T54+U54)/V54,"")</f>
        <v>0.14132231404958678</v>
      </c>
      <c r="K54" s="9">
        <f>IFERROR(U54/V54,"")</f>
        <v>2.8099173553719006E-3</v>
      </c>
      <c r="L54" s="8">
        <f>IFERROR(MIN(Q54/1000*1.5, 150),"")</f>
        <v>150</v>
      </c>
      <c r="M54" s="7">
        <f>IFERROR(V54/Q54,"")</f>
        <v>7.4599260172626386E-2</v>
      </c>
      <c r="N54" s="6">
        <f>IFERROR((S54+U54)/Q54,"")</f>
        <v>1.0363748458692972E-2</v>
      </c>
      <c r="O54" s="6">
        <f>IFERROR(100/(L54+1),"")</f>
        <v>0.66225165562913912</v>
      </c>
      <c r="P54" s="5" t="s">
        <v>1808</v>
      </c>
      <c r="Q54" s="4">
        <v>162200</v>
      </c>
      <c r="R54" s="4">
        <v>330</v>
      </c>
      <c r="S54" s="4">
        <v>1647</v>
      </c>
      <c r="T54" s="4">
        <v>29</v>
      </c>
      <c r="U54" s="4">
        <v>34</v>
      </c>
      <c r="V54" s="4">
        <v>12100</v>
      </c>
      <c r="W54" s="4">
        <v>16</v>
      </c>
      <c r="X54" s="1" t="s">
        <v>1807</v>
      </c>
      <c r="Y54" s="1" t="s">
        <v>1806</v>
      </c>
      <c r="Z54" s="3">
        <v>45898.88554398148</v>
      </c>
      <c r="AA54" s="2" t="s">
        <v>1805</v>
      </c>
      <c r="AB54" s="1" t="s">
        <v>1804</v>
      </c>
    </row>
    <row r="55" spans="1:28">
      <c r="A55" s="4">
        <v>53</v>
      </c>
      <c r="B55" s="1" t="s">
        <v>1803</v>
      </c>
      <c r="C55" s="1" t="s">
        <v>1798</v>
      </c>
      <c r="D55" s="5" t="s">
        <v>1802</v>
      </c>
      <c r="E55" s="1" t="s">
        <v>1801</v>
      </c>
      <c r="F55" s="1" t="s">
        <v>1800</v>
      </c>
      <c r="G55" s="10"/>
      <c r="H55" s="10" t="str">
        <f>IF(Q55&lt;100000,"1.마이크로-10만명 미만","2.메가-10만명 이상")</f>
        <v>1.마이크로-10만명 미만</v>
      </c>
      <c r="I55" s="10" t="str">
        <f ca="1">IFERROR(__xludf.DUMMYFUNCTION("iferror(REGEXEXTRACT(E55,""[a-zA-Z0-9._%+-]+@[a-zA-Z0-9.-]+\.[a-zA-Z]{2,}""),""2.이메일 없음"")"),"collaborate@briannafornes.com")</f>
        <v>collaborate@briannafornes.com</v>
      </c>
      <c r="J55" s="10">
        <f>IFERROR((S55+T55+U55)/V55,"")</f>
        <v>6.4692622950819675E-3</v>
      </c>
      <c r="K55" s="9">
        <f>IFERROR(U55/V55,"")</f>
        <v>1.1782786885245902E-4</v>
      </c>
      <c r="L55" s="8">
        <f>IFERROR(MIN(Q55/1000*1.5, 150),"")</f>
        <v>52.050000000000004</v>
      </c>
      <c r="M55" s="7">
        <f>IFERROR(V55/Q55,"")</f>
        <v>28.126801152737752</v>
      </c>
      <c r="N55" s="6">
        <f>IFERROR((S55+U55)/Q55,"")</f>
        <v>0.16844380403458215</v>
      </c>
      <c r="O55" s="6">
        <f>IFERROR(100/(L55+1),"")</f>
        <v>1.8850141376060319</v>
      </c>
      <c r="P55" s="5" t="s">
        <v>1799</v>
      </c>
      <c r="Q55" s="4">
        <v>34700</v>
      </c>
      <c r="R55" s="4">
        <v>4579</v>
      </c>
      <c r="S55" s="4">
        <v>5730</v>
      </c>
      <c r="T55" s="4">
        <v>469</v>
      </c>
      <c r="U55" s="4">
        <v>115</v>
      </c>
      <c r="V55" s="4">
        <v>976000</v>
      </c>
      <c r="W55" s="4">
        <v>32</v>
      </c>
      <c r="X55" s="1" t="s">
        <v>23</v>
      </c>
      <c r="Y55" s="1" t="s">
        <v>1798</v>
      </c>
      <c r="Z55" s="3">
        <v>45325.130833333336</v>
      </c>
      <c r="AA55" s="2" t="s">
        <v>1797</v>
      </c>
      <c r="AB55" s="1" t="s">
        <v>1796</v>
      </c>
    </row>
    <row r="56" spans="1:28">
      <c r="A56" s="4">
        <v>54</v>
      </c>
      <c r="B56" s="1" t="s">
        <v>1795</v>
      </c>
      <c r="C56" s="1" t="s">
        <v>1794</v>
      </c>
      <c r="D56" s="5" t="s">
        <v>1793</v>
      </c>
      <c r="E56" s="1" t="s">
        <v>1792</v>
      </c>
      <c r="F56" s="1" t="s">
        <v>1791</v>
      </c>
      <c r="G56" s="10"/>
      <c r="H56" s="10" t="str">
        <f>IF(Q56&lt;100000,"1.마이크로-10만명 미만","2.메가-10만명 이상")</f>
        <v>1.마이크로-10만명 미만</v>
      </c>
      <c r="I56" s="10" t="str">
        <f ca="1">IFERROR(__xludf.DUMMYFUNCTION("iferror(REGEXEXTRACT(E56,""[a-zA-Z0-9._%+-]+@[a-zA-Z0-9.-]+\.[a-zA-Z]{2,}""),""2.이메일 없음"")"),"sydney@sydneyteam.com")</f>
        <v>sydney@sydneyteam.com</v>
      </c>
      <c r="J56" s="10">
        <f>IFERROR((S56+T56+U56)/V56,"")</f>
        <v>2.1276595744680851E-2</v>
      </c>
      <c r="K56" s="9">
        <f>IFERROR(U56/V56,"")</f>
        <v>1.1953143676786994E-3</v>
      </c>
      <c r="L56" s="8">
        <f>IFERROR(MIN(Q56/1000*1.5, 150),"")</f>
        <v>141.75</v>
      </c>
      <c r="M56" s="7">
        <f>IFERROR(V56/Q56,"")</f>
        <v>8.8529100529100527E-2</v>
      </c>
      <c r="N56" s="6">
        <f>IFERROR((S56+U56)/Q56,"")</f>
        <v>1.8306878306878307E-3</v>
      </c>
      <c r="O56" s="6">
        <f>IFERROR(100/(L56+1),"")</f>
        <v>0.70052539404553416</v>
      </c>
      <c r="P56" s="5" t="s">
        <v>1790</v>
      </c>
      <c r="Q56" s="4">
        <v>94500</v>
      </c>
      <c r="R56" s="4">
        <v>1651</v>
      </c>
      <c r="S56" s="4">
        <v>163</v>
      </c>
      <c r="T56" s="4">
        <v>5</v>
      </c>
      <c r="U56" s="4">
        <v>10</v>
      </c>
      <c r="V56" s="4">
        <v>8366</v>
      </c>
      <c r="W56" s="4">
        <v>15</v>
      </c>
      <c r="X56" s="1" t="s">
        <v>1789</v>
      </c>
      <c r="Y56" s="1" t="s">
        <v>1788</v>
      </c>
      <c r="Z56" s="3">
        <v>45899.165775462963</v>
      </c>
      <c r="AA56" s="2" t="s">
        <v>1787</v>
      </c>
      <c r="AB56" s="1" t="s">
        <v>1786</v>
      </c>
    </row>
    <row r="57" spans="1:28">
      <c r="A57" s="4">
        <v>55</v>
      </c>
      <c r="B57" s="1" t="s">
        <v>1781</v>
      </c>
      <c r="C57" s="1" t="s">
        <v>1781</v>
      </c>
      <c r="D57" s="5" t="s">
        <v>1785</v>
      </c>
      <c r="E57" s="1" t="s">
        <v>1784</v>
      </c>
      <c r="F57" s="1" t="s">
        <v>1783</v>
      </c>
      <c r="G57" s="10"/>
      <c r="H57" s="10" t="str">
        <f>IF(Q57&lt;100000,"1.마이크로-10만명 미만","2.메가-10만명 이상")</f>
        <v>1.마이크로-10만명 미만</v>
      </c>
      <c r="I57" s="10" t="str">
        <f ca="1">IFERROR(__xludf.DUMMYFUNCTION("iferror(REGEXEXTRACT(E57,""[a-zA-Z0-9._%+-]+@[a-zA-Z0-9.-]+\.[a-zA-Z]{2,}""),""2.이메일 없음"")"),"raye.oji@gmail.com")</f>
        <v>raye.oji@gmail.com</v>
      </c>
      <c r="J57" s="10">
        <f>IFERROR((S57+T57+U57)/V57,"")</f>
        <v>1.3321167883211679E-2</v>
      </c>
      <c r="K57" s="9">
        <f>IFERROR(U57/V57,"")</f>
        <v>9.8540145985401457E-4</v>
      </c>
      <c r="L57" s="8">
        <f>IFERROR(MIN(Q57/1000*1.5, 150),"")</f>
        <v>16.950000000000003</v>
      </c>
      <c r="M57" s="7">
        <f>IFERROR(V57/Q57,"")</f>
        <v>2.4247787610619471</v>
      </c>
      <c r="N57" s="6">
        <f>IFERROR((S57+U57)/Q57,"")</f>
        <v>3.0353982300884957E-2</v>
      </c>
      <c r="O57" s="6">
        <f>IFERROR(100/(L57+1),"")</f>
        <v>5.571030640668523</v>
      </c>
      <c r="P57" s="5" t="s">
        <v>1782</v>
      </c>
      <c r="Q57" s="4">
        <v>11300</v>
      </c>
      <c r="R57" s="4">
        <v>336</v>
      </c>
      <c r="S57" s="4">
        <v>316</v>
      </c>
      <c r="T57" s="4">
        <v>22</v>
      </c>
      <c r="U57" s="4">
        <v>27</v>
      </c>
      <c r="V57" s="4">
        <v>27400</v>
      </c>
      <c r="W57" s="4">
        <v>54</v>
      </c>
      <c r="X57" s="1" t="s">
        <v>23</v>
      </c>
      <c r="Y57" s="1" t="s">
        <v>1781</v>
      </c>
      <c r="Z57" s="3">
        <v>45763.229178240741</v>
      </c>
      <c r="AA57" s="2" t="s">
        <v>1780</v>
      </c>
      <c r="AB57" s="1" t="s">
        <v>1779</v>
      </c>
    </row>
    <row r="58" spans="1:28">
      <c r="A58" s="4">
        <v>56</v>
      </c>
      <c r="B58" s="1" t="s">
        <v>1778</v>
      </c>
      <c r="C58" s="1" t="s">
        <v>1777</v>
      </c>
      <c r="D58" s="5" t="s">
        <v>1776</v>
      </c>
      <c r="E58" s="1" t="s">
        <v>1775</v>
      </c>
      <c r="F58" s="1" t="s">
        <v>1774</v>
      </c>
      <c r="G58" s="10"/>
      <c r="H58" s="10" t="str">
        <f>IF(Q58&lt;100000,"1.마이크로-10만명 미만","2.메가-10만명 이상")</f>
        <v>1.마이크로-10만명 미만</v>
      </c>
      <c r="I58" s="10" t="str">
        <f ca="1">IFERROR(__xludf.DUMMYFUNCTION("iferror(REGEXEXTRACT(E58,""[a-zA-Z0-9._%+-]+@[a-zA-Z0-9.-]+\.[a-zA-Z]{2,}""),""2.이메일 없음"")"),"corrostellabsn@gmail.com")</f>
        <v>corrostellabsn@gmail.com</v>
      </c>
      <c r="J58" s="10">
        <f>IFERROR((S58+T58+U58)/V58,"")</f>
        <v>7.3270412642669008E-2</v>
      </c>
      <c r="K58" s="9">
        <f>IFERROR(U58/V58,"")</f>
        <v>4.653204565408253E-4</v>
      </c>
      <c r="L58" s="8">
        <f>IFERROR(MIN(Q58/1000*1.5, 150),"")</f>
        <v>62.400000000000006</v>
      </c>
      <c r="M58" s="7">
        <f>IFERROR(V58/Q58,"")</f>
        <v>5.4759615384615383</v>
      </c>
      <c r="N58" s="6">
        <f>IFERROR((S58+U58)/Q58,"")</f>
        <v>0.38956730769230768</v>
      </c>
      <c r="O58" s="6">
        <f>IFERROR(100/(L58+1),"")</f>
        <v>1.5772870662460567</v>
      </c>
      <c r="P58" s="5" t="s">
        <v>1773</v>
      </c>
      <c r="Q58" s="4">
        <v>41600</v>
      </c>
      <c r="R58" s="4">
        <v>154</v>
      </c>
      <c r="S58" s="4">
        <v>16100</v>
      </c>
      <c r="T58" s="4">
        <v>485</v>
      </c>
      <c r="U58" s="4">
        <v>106</v>
      </c>
      <c r="V58" s="4">
        <v>227800</v>
      </c>
      <c r="W58" s="4">
        <v>13</v>
      </c>
      <c r="X58" s="1" t="s">
        <v>1772</v>
      </c>
      <c r="Y58" s="1" t="s">
        <v>1771</v>
      </c>
      <c r="Z58" s="3">
        <v>45590.954074074078</v>
      </c>
      <c r="AA58" s="2" t="s">
        <v>1770</v>
      </c>
      <c r="AB58" s="1" t="s">
        <v>1769</v>
      </c>
    </row>
    <row r="59" spans="1:28">
      <c r="A59" s="4">
        <v>57</v>
      </c>
      <c r="B59" s="1" t="s">
        <v>1768</v>
      </c>
      <c r="C59" s="1" t="s">
        <v>1763</v>
      </c>
      <c r="D59" s="5" t="s">
        <v>1767</v>
      </c>
      <c r="E59" s="1" t="s">
        <v>1766</v>
      </c>
      <c r="F59" s="1" t="s">
        <v>1765</v>
      </c>
      <c r="G59" s="10"/>
      <c r="H59" s="10" t="str">
        <f>IF(Q59&lt;100000,"1.마이크로-10만명 미만","2.메가-10만명 이상")</f>
        <v>1.마이크로-10만명 미만</v>
      </c>
      <c r="I59" s="10" t="str">
        <f ca="1">IFERROR(__xludf.DUMMYFUNCTION("iferror(REGEXEXTRACT(E59,""[a-zA-Z0-9._%+-]+@[a-zA-Z0-9.-]+\.[a-zA-Z]{2,}""),""2.이메일 없음"")"),"ramwilsonn@icloud.com")</f>
        <v>ramwilsonn@icloud.com</v>
      </c>
      <c r="J59" s="10">
        <f>IFERROR((S59+T59+U59)/V59,"")</f>
        <v>2.1840986394557824E-2</v>
      </c>
      <c r="K59" s="9">
        <f>IFERROR(U59/V59,"")</f>
        <v>1.7006802721088434E-4</v>
      </c>
      <c r="L59" s="8">
        <f>IFERROR(MIN(Q59/1000*1.5, 150),"")</f>
        <v>42.45</v>
      </c>
      <c r="M59" s="7">
        <f>IFERROR(V59/Q59,"")</f>
        <v>8.3109540636042407</v>
      </c>
      <c r="N59" s="6">
        <f>IFERROR((S59+U59)/Q59,"")</f>
        <v>0.16692579505300353</v>
      </c>
      <c r="O59" s="6">
        <f>IFERROR(100/(L59+1),"")</f>
        <v>2.3014959723820483</v>
      </c>
      <c r="P59" s="5" t="s">
        <v>1764</v>
      </c>
      <c r="Q59" s="4">
        <v>28300</v>
      </c>
      <c r="R59" s="4">
        <v>781</v>
      </c>
      <c r="S59" s="4">
        <v>4684</v>
      </c>
      <c r="T59" s="4">
        <v>413</v>
      </c>
      <c r="U59" s="4">
        <v>40</v>
      </c>
      <c r="V59" s="4">
        <v>235200</v>
      </c>
      <c r="W59" s="4">
        <v>127</v>
      </c>
      <c r="X59" s="1" t="s">
        <v>23</v>
      </c>
      <c r="Y59" s="1" t="s">
        <v>1763</v>
      </c>
      <c r="Z59" s="3">
        <v>45772.29965277778</v>
      </c>
      <c r="AA59" s="2" t="s">
        <v>1762</v>
      </c>
      <c r="AB59" s="1" t="s">
        <v>1761</v>
      </c>
    </row>
    <row r="60" spans="1:28">
      <c r="A60" s="4">
        <v>58</v>
      </c>
      <c r="B60" s="1" t="s">
        <v>1760</v>
      </c>
      <c r="C60" s="1" t="s">
        <v>1759</v>
      </c>
      <c r="D60" s="5" t="s">
        <v>1758</v>
      </c>
      <c r="E60" s="1" t="s">
        <v>1757</v>
      </c>
      <c r="F60" s="1" t="s">
        <v>1756</v>
      </c>
      <c r="G60" s="10"/>
      <c r="H60" s="10" t="str">
        <f>IF(Q60&lt;100000,"1.마이크로-10만명 미만","2.메가-10만명 이상")</f>
        <v>1.마이크로-10만명 미만</v>
      </c>
      <c r="I60" s="10" t="str">
        <f ca="1">IFERROR(__xludf.DUMMYFUNCTION("iferror(REGEXEXTRACT(E60,""[a-zA-Z0-9._%+-]+@[a-zA-Z0-9.-]+\.[a-zA-Z]{2,}""),""2.이메일 없음"")"),"Tiffluence@gmail.com")</f>
        <v>Tiffluence@gmail.com</v>
      </c>
      <c r="J60" s="10">
        <f>IFERROR((S60+T60+U60)/V60,"")</f>
        <v>6.1417971970321519E-2</v>
      </c>
      <c r="K60" s="9">
        <f>IFERROR(U60/V60,"")</f>
        <v>4.1220115416323163E-3</v>
      </c>
      <c r="L60" s="8">
        <f>IFERROR(MIN(Q60/1000*1.5, 150),"")</f>
        <v>60.150000000000006</v>
      </c>
      <c r="M60" s="7">
        <f>IFERROR(V60/Q60,"")</f>
        <v>6.0498753117206983E-2</v>
      </c>
      <c r="N60" s="6">
        <f>IFERROR((S60+U60)/Q60,"")</f>
        <v>3.6408977556109724E-3</v>
      </c>
      <c r="O60" s="6">
        <f>IFERROR(100/(L60+1),"")</f>
        <v>1.6353229762878168</v>
      </c>
      <c r="P60" s="5" t="s">
        <v>1755</v>
      </c>
      <c r="Q60" s="4">
        <v>40100</v>
      </c>
      <c r="R60" s="4">
        <v>977</v>
      </c>
      <c r="S60" s="4">
        <v>136</v>
      </c>
      <c r="T60" s="4">
        <v>3</v>
      </c>
      <c r="U60" s="4">
        <v>10</v>
      </c>
      <c r="V60" s="4">
        <v>2426</v>
      </c>
      <c r="W60" s="4">
        <v>109</v>
      </c>
      <c r="X60" s="1" t="s">
        <v>1754</v>
      </c>
      <c r="Y60" s="1" t="s">
        <v>1753</v>
      </c>
      <c r="Z60" s="3">
        <v>45323.923206018517</v>
      </c>
      <c r="AA60" s="2" t="s">
        <v>1752</v>
      </c>
      <c r="AB60" s="1" t="s">
        <v>1751</v>
      </c>
    </row>
    <row r="61" spans="1:28">
      <c r="A61" s="4">
        <v>59</v>
      </c>
      <c r="B61" s="1" t="s">
        <v>1750</v>
      </c>
      <c r="C61" s="1" t="s">
        <v>1749</v>
      </c>
      <c r="D61" s="5" t="s">
        <v>1748</v>
      </c>
      <c r="E61" s="1" t="s">
        <v>1747</v>
      </c>
      <c r="F61" s="1" t="s">
        <v>1746</v>
      </c>
      <c r="G61" s="10"/>
      <c r="H61" s="10" t="str">
        <f>IF(Q61&lt;100000,"1.마이크로-10만명 미만","2.메가-10만명 이상")</f>
        <v>1.마이크로-10만명 미만</v>
      </c>
      <c r="I61" s="10" t="str">
        <f ca="1">IFERROR(__xludf.DUMMYFUNCTION("iferror(REGEXEXTRACT(E61,""[a-zA-Z0-9._%+-]+@[a-zA-Z0-9.-]+\.[a-zA-Z]{2,}""),""2.이메일 없음"")"),"jennabachrach8@gmail.com")</f>
        <v>jennabachrach8@gmail.com</v>
      </c>
      <c r="J61" s="10">
        <f>IFERROR((S61+T61+U61)/V61,"")</f>
        <v>4.0633159268929506E-2</v>
      </c>
      <c r="K61" s="9">
        <f>IFERROR(U61/V61,"")</f>
        <v>1.1422976501305484E-3</v>
      </c>
      <c r="L61" s="8">
        <f>IFERROR(MIN(Q61/1000*1.5, 150),"")</f>
        <v>118.35000000000001</v>
      </c>
      <c r="M61" s="7">
        <f>IFERROR(V61/Q61,"")</f>
        <v>7.7667934093789609E-2</v>
      </c>
      <c r="N61" s="6">
        <f>IFERROR((S61+U61)/Q61,"")</f>
        <v>3.0671736375158429E-3</v>
      </c>
      <c r="O61" s="6">
        <f>IFERROR(100/(L61+1),"")</f>
        <v>0.83787180561374108</v>
      </c>
      <c r="P61" s="5" t="s">
        <v>1745</v>
      </c>
      <c r="Q61" s="4">
        <v>78900</v>
      </c>
      <c r="R61" s="4">
        <v>801</v>
      </c>
      <c r="S61" s="4">
        <v>235</v>
      </c>
      <c r="T61" s="4">
        <v>7</v>
      </c>
      <c r="U61" s="4">
        <v>7</v>
      </c>
      <c r="V61" s="4">
        <v>6128</v>
      </c>
      <c r="W61" s="4">
        <v>25</v>
      </c>
      <c r="X61" s="1" t="s">
        <v>1744</v>
      </c>
      <c r="Y61" s="1" t="s">
        <v>1743</v>
      </c>
      <c r="Z61" s="3">
        <v>45828.231574074074</v>
      </c>
      <c r="AA61" s="2" t="s">
        <v>1742</v>
      </c>
      <c r="AB61" s="1" t="s">
        <v>1741</v>
      </c>
    </row>
    <row r="62" spans="1:28">
      <c r="A62" s="4">
        <v>60</v>
      </c>
      <c r="B62" s="1" t="s">
        <v>1740</v>
      </c>
      <c r="C62" s="1" t="s">
        <v>1739</v>
      </c>
      <c r="D62" s="5" t="s">
        <v>1738</v>
      </c>
      <c r="E62" s="1" t="s">
        <v>1737</v>
      </c>
      <c r="F62" s="1" t="s">
        <v>1736</v>
      </c>
      <c r="G62" s="10"/>
      <c r="H62" s="10" t="str">
        <f>IF(Q62&lt;100000,"1.마이크로-10만명 미만","2.메가-10만명 이상")</f>
        <v>2.메가-10만명 이상</v>
      </c>
      <c r="I62" s="10" t="str">
        <f ca="1">IFERROR(__xludf.DUMMYFUNCTION("iferror(REGEXEXTRACT(E62,""[a-zA-Z0-9._%+-]+@[a-zA-Z0-9.-]+\.[a-zA-Z]{2,}""),""2.이메일 없음"")"),"sozimazoeee@gmail.com")</f>
        <v>sozimazoeee@gmail.com</v>
      </c>
      <c r="J62" s="10">
        <f>IFERROR((S62+T62+U62)/V62,"")</f>
        <v>0.15308988764044945</v>
      </c>
      <c r="K62" s="9">
        <f>IFERROR(U62/V62,"")</f>
        <v>5.6179775280898875E-3</v>
      </c>
      <c r="L62" s="8">
        <f>IFERROR(MIN(Q62/1000*1.5, 150),"")</f>
        <v>150</v>
      </c>
      <c r="M62" s="7">
        <f>IFERROR(V62/Q62,"")</f>
        <v>6.5261228230980755E-3</v>
      </c>
      <c r="N62" s="6">
        <f>IFERROR((S62+U62)/Q62,"")</f>
        <v>9.7158570119156734E-4</v>
      </c>
      <c r="O62" s="6">
        <f>IFERROR(100/(L62+1),"")</f>
        <v>0.66225165562913912</v>
      </c>
      <c r="P62" s="5" t="s">
        <v>1735</v>
      </c>
      <c r="Q62" s="4">
        <v>109100</v>
      </c>
      <c r="R62" s="4">
        <v>381</v>
      </c>
      <c r="S62" s="4">
        <v>102</v>
      </c>
      <c r="T62" s="4">
        <v>3</v>
      </c>
      <c r="U62" s="4">
        <v>4</v>
      </c>
      <c r="V62" s="4">
        <v>712</v>
      </c>
      <c r="W62" s="4">
        <v>14</v>
      </c>
      <c r="X62" s="1" t="s">
        <v>1734</v>
      </c>
      <c r="Y62" s="1" t="s">
        <v>1733</v>
      </c>
      <c r="Z62" s="3">
        <v>45910.144317129627</v>
      </c>
      <c r="AA62" s="2" t="s">
        <v>1732</v>
      </c>
      <c r="AB62" s="1" t="s">
        <v>1731</v>
      </c>
    </row>
    <row r="63" spans="1:28">
      <c r="A63" s="4">
        <v>61</v>
      </c>
      <c r="B63" s="1" t="s">
        <v>1730</v>
      </c>
      <c r="C63" s="1" t="s">
        <v>1729</v>
      </c>
      <c r="D63" s="5" t="s">
        <v>1728</v>
      </c>
      <c r="E63" s="1" t="s">
        <v>1727</v>
      </c>
      <c r="F63" s="1" t="s">
        <v>1726</v>
      </c>
      <c r="G63" s="10"/>
      <c r="H63" s="10" t="str">
        <f>IF(Q63&lt;100000,"1.마이크로-10만명 미만","2.메가-10만명 이상")</f>
        <v>2.메가-10만명 이상</v>
      </c>
      <c r="I63" s="10" t="str">
        <f ca="1">IFERROR(__xludf.DUMMYFUNCTION("iferror(REGEXEXTRACT(E63,""[a-zA-Z0-9._%+-]+@[a-zA-Z0-9.-]+\.[a-zA-Z]{2,}""),""2.이메일 없음"")"),"leilajones0106@gmail.com")</f>
        <v>leilajones0106@gmail.com</v>
      </c>
      <c r="J63" s="10">
        <f>IFERROR((S63+T63+U63)/V63,"")</f>
        <v>8.8004172461752433E-2</v>
      </c>
      <c r="K63" s="9">
        <f>IFERROR(U63/V63,"")</f>
        <v>4.0333796940194715E-4</v>
      </c>
      <c r="L63" s="8">
        <f>IFERROR(MIN(Q63/1000*1.5, 150),"")</f>
        <v>150</v>
      </c>
      <c r="M63" s="7">
        <f>IFERROR(V63/Q63,"")</f>
        <v>1.000695894224078</v>
      </c>
      <c r="N63" s="6">
        <f>IFERROR((S63+U63)/Q63,"")</f>
        <v>8.6694502435629789E-2</v>
      </c>
      <c r="O63" s="6">
        <f>IFERROR(100/(L63+1),"")</f>
        <v>0.66225165562913912</v>
      </c>
      <c r="P63" s="5" t="s">
        <v>1725</v>
      </c>
      <c r="Q63" s="4">
        <v>143700</v>
      </c>
      <c r="R63" s="4">
        <v>209</v>
      </c>
      <c r="S63" s="4">
        <v>12400</v>
      </c>
      <c r="T63" s="4">
        <v>197</v>
      </c>
      <c r="U63" s="4">
        <v>58</v>
      </c>
      <c r="V63" s="4">
        <v>143800</v>
      </c>
      <c r="W63" s="4">
        <v>24</v>
      </c>
      <c r="X63" s="1" t="s">
        <v>1724</v>
      </c>
      <c r="Y63" s="1" t="s">
        <v>1723</v>
      </c>
      <c r="Z63" s="3">
        <v>45491.214247685188</v>
      </c>
      <c r="AA63" s="2" t="s">
        <v>1722</v>
      </c>
      <c r="AB63" s="1" t="s">
        <v>1721</v>
      </c>
    </row>
    <row r="64" spans="1:28">
      <c r="A64" s="4">
        <v>62</v>
      </c>
      <c r="B64" s="1" t="s">
        <v>1720</v>
      </c>
      <c r="C64" s="1" t="s">
        <v>1715</v>
      </c>
      <c r="D64" s="5" t="s">
        <v>1719</v>
      </c>
      <c r="E64" s="1" t="s">
        <v>1718</v>
      </c>
      <c r="F64" s="1" t="s">
        <v>1717</v>
      </c>
      <c r="G64" s="10"/>
      <c r="H64" s="10" t="str">
        <f>IF(Q64&lt;100000,"1.마이크로-10만명 미만","2.메가-10만명 이상")</f>
        <v>2.메가-10만명 이상</v>
      </c>
      <c r="I64" s="10" t="str">
        <f ca="1">IFERROR(__xludf.DUMMYFUNCTION("iferror(REGEXEXTRACT(E64,""[a-zA-Z0-9._%+-]+@[a-zA-Z0-9.-]+\.[a-zA-Z]{2,}""),""2.이메일 없음"")"),"management@sophadopha.com")</f>
        <v>management@sophadopha.com</v>
      </c>
      <c r="J64" s="10">
        <f>IFERROR((S64+T64+U64)/V64,"")</f>
        <v>6.0448179271708681E-2</v>
      </c>
      <c r="K64" s="9">
        <f>IFERROR(U64/V64,"")</f>
        <v>2.9878618113912231E-4</v>
      </c>
      <c r="L64" s="8">
        <f>IFERROR(MIN(Q64/1000*1.5, 150),"")</f>
        <v>150</v>
      </c>
      <c r="M64" s="7">
        <f>IFERROR(V64/Q64,"")</f>
        <v>7.6499999999999999E-2</v>
      </c>
      <c r="N64" s="6">
        <f>IFERROR((S64+U64)/Q64,"")</f>
        <v>4.5614285714285713E-3</v>
      </c>
      <c r="O64" s="6">
        <f>IFERROR(100/(L64+1),"")</f>
        <v>0.66225165562913912</v>
      </c>
      <c r="P64" s="5" t="s">
        <v>1716</v>
      </c>
      <c r="Q64" s="4">
        <v>1400000</v>
      </c>
      <c r="R64" s="4">
        <v>5068</v>
      </c>
      <c r="S64" s="4">
        <v>6354</v>
      </c>
      <c r="T64" s="4">
        <v>88</v>
      </c>
      <c r="U64" s="4">
        <v>32</v>
      </c>
      <c r="V64" s="4">
        <v>107100</v>
      </c>
      <c r="W64" s="4">
        <v>51</v>
      </c>
      <c r="X64" s="1" t="s">
        <v>23</v>
      </c>
      <c r="Y64" s="1" t="s">
        <v>1715</v>
      </c>
      <c r="Z64" s="3">
        <v>45843.357743055552</v>
      </c>
      <c r="AA64" s="2" t="s">
        <v>1714</v>
      </c>
      <c r="AB64" s="1" t="s">
        <v>1713</v>
      </c>
    </row>
    <row r="65" spans="1:28">
      <c r="A65" s="4">
        <v>63</v>
      </c>
      <c r="B65" s="1" t="s">
        <v>1712</v>
      </c>
      <c r="C65" s="1" t="s">
        <v>1707</v>
      </c>
      <c r="D65" s="5" t="s">
        <v>1711</v>
      </c>
      <c r="E65" s="1" t="s">
        <v>1710</v>
      </c>
      <c r="F65" s="1" t="s">
        <v>1709</v>
      </c>
      <c r="G65" s="10"/>
      <c r="H65" s="10" t="str">
        <f>IF(Q65&lt;100000,"1.마이크로-10만명 미만","2.메가-10만명 이상")</f>
        <v>1.마이크로-10만명 미만</v>
      </c>
      <c r="I65" s="10" t="str">
        <f ca="1">IFERROR(__xludf.DUMMYFUNCTION("iferror(REGEXEXTRACT(E65,""[a-zA-Z0-9._%+-]+@[a-zA-Z0-9.-]+\.[a-zA-Z]{2,}""),""2.이메일 없음"")"),"noa.skikne@thedigitalbrandarchitects.com")</f>
        <v>noa.skikne@thedigitalbrandarchitects.com</v>
      </c>
      <c r="J65" s="10">
        <f>IFERROR((S65+T65+U65)/V65,"")</f>
        <v>8.8671096345514955E-2</v>
      </c>
      <c r="K65" s="9">
        <f>IFERROR(U65/V65,"")</f>
        <v>7.4750830564784051E-4</v>
      </c>
      <c r="L65" s="8">
        <f>IFERROR(MIN(Q65/1000*1.5, 150),"")</f>
        <v>122.25</v>
      </c>
      <c r="M65" s="7">
        <f>IFERROR(V65/Q65,"")</f>
        <v>2.2159509202453989</v>
      </c>
      <c r="N65" s="6">
        <f>IFERROR((S65+U65)/Q65,"")</f>
        <v>0.1930674846625767</v>
      </c>
      <c r="O65" s="6">
        <f>IFERROR(100/(L65+1),"")</f>
        <v>0.81135902636916835</v>
      </c>
      <c r="P65" s="5" t="s">
        <v>1708</v>
      </c>
      <c r="Q65" s="4">
        <v>81500</v>
      </c>
      <c r="R65" s="4">
        <v>406</v>
      </c>
      <c r="S65" s="4">
        <v>15600</v>
      </c>
      <c r="T65" s="4">
        <v>279</v>
      </c>
      <c r="U65" s="4">
        <v>135</v>
      </c>
      <c r="V65" s="4">
        <v>180600</v>
      </c>
      <c r="W65" s="4">
        <v>63</v>
      </c>
      <c r="X65" s="1" t="s">
        <v>23</v>
      </c>
      <c r="Y65" s="1" t="s">
        <v>1707</v>
      </c>
      <c r="Z65" s="3">
        <v>45875.053159722222</v>
      </c>
      <c r="AA65" s="2" t="s">
        <v>1706</v>
      </c>
      <c r="AB65" s="1" t="s">
        <v>1705</v>
      </c>
    </row>
    <row r="66" spans="1:28">
      <c r="A66" s="4">
        <v>64</v>
      </c>
      <c r="B66" s="1" t="s">
        <v>1704</v>
      </c>
      <c r="C66" s="1" t="s">
        <v>1699</v>
      </c>
      <c r="D66" s="5" t="s">
        <v>1703</v>
      </c>
      <c r="E66" s="1" t="s">
        <v>1702</v>
      </c>
      <c r="F66" s="1" t="s">
        <v>1701</v>
      </c>
      <c r="G66" s="10"/>
      <c r="H66" s="10" t="str">
        <f>IF(Q66&lt;100000,"1.마이크로-10만명 미만","2.메가-10만명 이상")</f>
        <v>1.마이크로-10만명 미만</v>
      </c>
      <c r="I66" s="10" t="str">
        <f ca="1">IFERROR(__xludf.DUMMYFUNCTION("iferror(REGEXEXTRACT(E66,""[a-zA-Z0-9._%+-]+@[a-zA-Z0-9.-]+\.[a-zA-Z]{2,}""),""2.이메일 없음"")"),"jillian@thekairgroup.com")</f>
        <v>jillian@thekairgroup.com</v>
      </c>
      <c r="J66" s="10">
        <f>IFERROR((S66+T66+U66)/V66,"")</f>
        <v>8.1151265959748975E-2</v>
      </c>
      <c r="K66" s="9">
        <f>IFERROR(U66/V66,"")</f>
        <v>5.8428911491019263E-3</v>
      </c>
      <c r="L66" s="8">
        <f>IFERROR(MIN(Q66/1000*1.5, 150),"")</f>
        <v>60.75</v>
      </c>
      <c r="M66" s="7">
        <f>IFERROR(V66/Q66,"")</f>
        <v>0.11409876543209876</v>
      </c>
      <c r="N66" s="6">
        <f>IFERROR((S66+U66)/Q66,"")</f>
        <v>9.0617283950617279E-3</v>
      </c>
      <c r="O66" s="6">
        <f>IFERROR(100/(L66+1),"")</f>
        <v>1.6194331983805668</v>
      </c>
      <c r="P66" s="5" t="s">
        <v>1700</v>
      </c>
      <c r="Q66" s="4">
        <v>40500</v>
      </c>
      <c r="R66" s="4">
        <v>631</v>
      </c>
      <c r="S66" s="4">
        <v>340</v>
      </c>
      <c r="T66" s="4">
        <v>8</v>
      </c>
      <c r="U66" s="4">
        <v>27</v>
      </c>
      <c r="V66" s="4">
        <v>4621</v>
      </c>
      <c r="W66" s="4">
        <v>36</v>
      </c>
      <c r="X66" s="1" t="s">
        <v>23</v>
      </c>
      <c r="Y66" s="1" t="s">
        <v>1699</v>
      </c>
      <c r="Z66" s="3">
        <v>45876.291388888887</v>
      </c>
      <c r="AA66" s="2" t="s">
        <v>1698</v>
      </c>
      <c r="AB66" s="1">
        <v>7834415</v>
      </c>
    </row>
    <row r="67" spans="1:28">
      <c r="A67" s="4">
        <v>65</v>
      </c>
      <c r="B67" s="1" t="s">
        <v>1697</v>
      </c>
      <c r="C67" s="1" t="s">
        <v>1696</v>
      </c>
      <c r="D67" s="5" t="s">
        <v>1695</v>
      </c>
      <c r="E67" s="1" t="s">
        <v>1694</v>
      </c>
      <c r="F67" s="1" t="s">
        <v>1693</v>
      </c>
      <c r="G67" s="10"/>
      <c r="H67" s="10" t="str">
        <f>IF(Q67&lt;100000,"1.마이크로-10만명 미만","2.메가-10만명 이상")</f>
        <v>1.마이크로-10만명 미만</v>
      </c>
      <c r="I67" s="10" t="str">
        <f ca="1">IFERROR(__xludf.DUMMYFUNCTION("iferror(REGEXEXTRACT(E67,""[a-zA-Z0-9._%+-]+@[a-zA-Z0-9.-]+\.[a-zA-Z]{2,}""),""2.이메일 없음"")"),"deiksha.inquiries@gmail.com")</f>
        <v>deiksha.inquiries@gmail.com</v>
      </c>
      <c r="J67" s="10">
        <f>IFERROR((S67+T67+U67)/V67,"")</f>
        <v>0.10562817719680465</v>
      </c>
      <c r="K67" s="9">
        <f>IFERROR(U67/V67,"")</f>
        <v>1.6557734204793028E-3</v>
      </c>
      <c r="L67" s="8">
        <f>IFERROR(MIN(Q67/1000*1.5, 150),"")</f>
        <v>53.849999999999994</v>
      </c>
      <c r="M67" s="7">
        <f>IFERROR(V67/Q67,"")</f>
        <v>3.8356545961002784</v>
      </c>
      <c r="N67" s="6">
        <f>IFERROR((S67+U67)/Q67,"")</f>
        <v>0.38239554317548746</v>
      </c>
      <c r="O67" s="6">
        <f>IFERROR(100/(L67+1),"")</f>
        <v>1.823154056517776</v>
      </c>
      <c r="P67" s="5" t="s">
        <v>1692</v>
      </c>
      <c r="Q67" s="4">
        <v>35900</v>
      </c>
      <c r="R67" s="4">
        <v>154</v>
      </c>
      <c r="S67" s="4">
        <v>13500</v>
      </c>
      <c r="T67" s="4">
        <v>817</v>
      </c>
      <c r="U67" s="4">
        <v>228</v>
      </c>
      <c r="V67" s="4">
        <v>137700</v>
      </c>
      <c r="W67" s="4">
        <v>5</v>
      </c>
      <c r="X67" s="1" t="s">
        <v>1557</v>
      </c>
      <c r="Y67" s="1" t="s">
        <v>159</v>
      </c>
      <c r="Z67" s="3">
        <v>45753.510717592595</v>
      </c>
      <c r="AA67" s="2" t="s">
        <v>1691</v>
      </c>
      <c r="AB67" s="1" t="s">
        <v>1690</v>
      </c>
    </row>
    <row r="68" spans="1:28">
      <c r="A68" s="4">
        <v>66</v>
      </c>
      <c r="B68" s="1" t="s">
        <v>1689</v>
      </c>
      <c r="C68" s="1" t="s">
        <v>1684</v>
      </c>
      <c r="D68" s="5" t="s">
        <v>1688</v>
      </c>
      <c r="E68" s="1" t="s">
        <v>1687</v>
      </c>
      <c r="F68" s="1" t="s">
        <v>1686</v>
      </c>
      <c r="G68" s="10"/>
      <c r="H68" s="10" t="str">
        <f>IF(Q68&lt;100000,"1.마이크로-10만명 미만","2.메가-10만명 이상")</f>
        <v>2.메가-10만명 이상</v>
      </c>
      <c r="I68" s="10" t="str">
        <f ca="1">IFERROR(__xludf.DUMMYFUNCTION("iferror(REGEXEXTRACT(E68,""[a-zA-Z0-9._%+-]+@[a-zA-Z0-9.-]+\.[a-zA-Z]{2,}""),""2.이메일 없음"")"),"kristinaquintana@underscoretalent.com")</f>
        <v>kristinaquintana@underscoretalent.com</v>
      </c>
      <c r="J68" s="10">
        <f>IFERROR((S68+T68+U68)/V68,"")</f>
        <v>4.0460048426150121E-2</v>
      </c>
      <c r="K68" s="9">
        <f>IFERROR(U68/V68,"")</f>
        <v>2.8087167070217915E-4</v>
      </c>
      <c r="L68" s="8">
        <f>IFERROR(MIN(Q68/1000*1.5, 150),"")</f>
        <v>150</v>
      </c>
      <c r="M68" s="7">
        <f>IFERROR(V68/Q68,"")</f>
        <v>0.30251977732200408</v>
      </c>
      <c r="N68" s="6">
        <f>IFERROR((S68+U68)/Q68,"")</f>
        <v>1.2049516554351011E-2</v>
      </c>
      <c r="O68" s="6">
        <f>IFERROR(100/(L68+1),"")</f>
        <v>0.66225165562913912</v>
      </c>
      <c r="P68" s="5" t="s">
        <v>1685</v>
      </c>
      <c r="Q68" s="4">
        <v>682600</v>
      </c>
      <c r="R68" s="4">
        <v>1359</v>
      </c>
      <c r="S68" s="4">
        <v>8167</v>
      </c>
      <c r="T68" s="4">
        <v>130</v>
      </c>
      <c r="U68" s="4">
        <v>58</v>
      </c>
      <c r="V68" s="4">
        <v>206500</v>
      </c>
      <c r="W68" s="4">
        <v>41</v>
      </c>
      <c r="X68" s="1" t="s">
        <v>23</v>
      </c>
      <c r="Y68" s="1" t="s">
        <v>1684</v>
      </c>
      <c r="Z68" s="3">
        <v>45492.049768518518</v>
      </c>
      <c r="AA68" s="2" t="s">
        <v>1683</v>
      </c>
      <c r="AB68" s="1" t="s">
        <v>1682</v>
      </c>
    </row>
    <row r="69" spans="1:28">
      <c r="A69" s="4">
        <v>67</v>
      </c>
      <c r="B69" s="1" t="s">
        <v>1681</v>
      </c>
      <c r="C69" s="1" t="s">
        <v>1676</v>
      </c>
      <c r="D69" s="5" t="s">
        <v>1680</v>
      </c>
      <c r="E69" s="1" t="s">
        <v>1679</v>
      </c>
      <c r="F69" s="1" t="s">
        <v>1678</v>
      </c>
      <c r="G69" s="10"/>
      <c r="H69" s="10" t="str">
        <f>IF(Q69&lt;100000,"1.마이크로-10만명 미만","2.메가-10만명 이상")</f>
        <v>2.메가-10만명 이상</v>
      </c>
      <c r="I69" s="10" t="str">
        <f ca="1">IFERROR(__xludf.DUMMYFUNCTION("iferror(REGEXEXTRACT(E69,""[a-zA-Z0-9._%+-]+@[a-zA-Z0-9.-]+\.[a-zA-Z]{2,}""),""2.이메일 없음"")"),"2.이메일 없음")</f>
        <v>2.이메일 없음</v>
      </c>
      <c r="J69" s="10">
        <f>IFERROR((S69+T69+U69)/V69,"")</f>
        <v>0.10085058823529412</v>
      </c>
      <c r="K69" s="9">
        <f>IFERROR(U69/V69,"")</f>
        <v>1.3799999999999999E-3</v>
      </c>
      <c r="L69" s="8">
        <f>IFERROR(MIN(Q69/1000*1.5, 150),"")</f>
        <v>150</v>
      </c>
      <c r="M69" s="7">
        <f>IFERROR(V69/Q69,"")</f>
        <v>9.6590909090909088E-2</v>
      </c>
      <c r="N69" s="6">
        <f>IFERROR((S69+U69)/Q69,"")</f>
        <v>9.1901136363636369E-3</v>
      </c>
      <c r="O69" s="6">
        <f>IFERROR(100/(L69+1),"")</f>
        <v>0.66225165562913912</v>
      </c>
      <c r="P69" s="5" t="s">
        <v>1677</v>
      </c>
      <c r="Q69" s="4">
        <v>17600000</v>
      </c>
      <c r="R69" s="4">
        <v>343</v>
      </c>
      <c r="S69" s="4">
        <v>159400</v>
      </c>
      <c r="T69" s="4">
        <v>9700</v>
      </c>
      <c r="U69" s="4">
        <v>2346</v>
      </c>
      <c r="V69" s="4">
        <v>1700000</v>
      </c>
      <c r="W69" s="4">
        <v>9</v>
      </c>
      <c r="X69" s="1" t="s">
        <v>23</v>
      </c>
      <c r="Y69" s="1" t="s">
        <v>1676</v>
      </c>
      <c r="Z69" s="3">
        <v>45889.05678240741</v>
      </c>
      <c r="AA69" s="2" t="s">
        <v>1675</v>
      </c>
      <c r="AB69" s="1" t="s">
        <v>1674</v>
      </c>
    </row>
    <row r="70" spans="1:28">
      <c r="A70" s="4">
        <v>68</v>
      </c>
      <c r="B70" s="1" t="s">
        <v>909</v>
      </c>
      <c r="C70" s="1" t="s">
        <v>904</v>
      </c>
      <c r="D70" s="5" t="s">
        <v>908</v>
      </c>
      <c r="E70" s="1" t="s">
        <v>907</v>
      </c>
      <c r="F70" s="1" t="s">
        <v>1673</v>
      </c>
      <c r="G70" s="10"/>
      <c r="H70" s="10" t="str">
        <f>IF(Q70&lt;100000,"1.마이크로-10만명 미만","2.메가-10만명 이상")</f>
        <v>2.메가-10만명 이상</v>
      </c>
      <c r="I70" s="10" t="str">
        <f ca="1">IFERROR(__xludf.DUMMYFUNCTION("iferror(REGEXEXTRACT(E70,""[a-zA-Z0-9._%+-]+@[a-zA-Z0-9.-]+\.[a-zA-Z]{2,}""),""2.이메일 없음"")"),"kaigibsonxx@gmail.com")</f>
        <v>kaigibsonxx@gmail.com</v>
      </c>
      <c r="J70" s="10">
        <f>IFERROR((S70+T70+U70)/V70,"")</f>
        <v>7.258426966292135E-2</v>
      </c>
      <c r="K70" s="9">
        <f>IFERROR(U70/V70,"")</f>
        <v>5.3932584269662917E-4</v>
      </c>
      <c r="L70" s="8">
        <f>IFERROR(MIN(Q70/1000*1.5, 150),"")</f>
        <v>150</v>
      </c>
      <c r="M70" s="7">
        <f>IFERROR(V70/Q70,"")</f>
        <v>0.30354706684856753</v>
      </c>
      <c r="N70" s="6">
        <f>IFERROR((S70+U70)/Q70,"")</f>
        <v>2.1759890859481584E-2</v>
      </c>
      <c r="O70" s="6">
        <f>IFERROR(100/(L70+1),"")</f>
        <v>0.66225165562913912</v>
      </c>
      <c r="P70" s="5" t="s">
        <v>1672</v>
      </c>
      <c r="Q70" s="4">
        <v>146600</v>
      </c>
      <c r="R70" s="4">
        <v>2638</v>
      </c>
      <c r="S70" s="4">
        <v>3166</v>
      </c>
      <c r="T70" s="4">
        <v>40</v>
      </c>
      <c r="U70" s="4">
        <v>24</v>
      </c>
      <c r="V70" s="4">
        <v>44500</v>
      </c>
      <c r="W70" s="4">
        <v>28</v>
      </c>
      <c r="X70" s="1" t="s">
        <v>23</v>
      </c>
      <c r="Y70" s="1" t="s">
        <v>904</v>
      </c>
      <c r="Z70" s="3">
        <v>45876.149421296293</v>
      </c>
      <c r="AA70" s="2" t="s">
        <v>1671</v>
      </c>
      <c r="AB70" s="1" t="s">
        <v>902</v>
      </c>
    </row>
    <row r="71" spans="1:28">
      <c r="A71" s="4">
        <v>69</v>
      </c>
      <c r="B71" s="1" t="s">
        <v>1670</v>
      </c>
      <c r="C71" s="1" t="s">
        <v>1665</v>
      </c>
      <c r="D71" s="5" t="s">
        <v>1669</v>
      </c>
      <c r="E71" s="1" t="s">
        <v>1668</v>
      </c>
      <c r="F71" s="1" t="s">
        <v>1667</v>
      </c>
      <c r="G71" s="10"/>
      <c r="H71" s="10" t="str">
        <f>IF(Q71&lt;100000,"1.마이크로-10만명 미만","2.메가-10만명 이상")</f>
        <v>1.마이크로-10만명 미만</v>
      </c>
      <c r="I71" s="10" t="str">
        <f ca="1">IFERROR(__xludf.DUMMYFUNCTION("iferror(REGEXEXTRACT(E71,""[a-zA-Z0-9._%+-]+@[a-zA-Z0-9.-]+\.[a-zA-Z]{2,}""),""2.이메일 없음"")"),"info@charniqg.com")</f>
        <v>info@charniqg.com</v>
      </c>
      <c r="J71" s="10">
        <f>IFERROR((S71+T71+U71)/V71,"")</f>
        <v>1.6511627906976745E-2</v>
      </c>
      <c r="K71" s="9">
        <f>IFERROR(U71/V71,"")</f>
        <v>2.1511627906976743E-3</v>
      </c>
      <c r="L71" s="8">
        <f>IFERROR(MIN(Q71/1000*1.5, 150),"")</f>
        <v>78.449999999999989</v>
      </c>
      <c r="M71" s="7">
        <f>IFERROR(V71/Q71,"")</f>
        <v>0.32887189292543023</v>
      </c>
      <c r="N71" s="6">
        <f>IFERROR((S71+U71)/Q71,"")</f>
        <v>5.4302103250478007E-3</v>
      </c>
      <c r="O71" s="6">
        <f>IFERROR(100/(L71+1),"")</f>
        <v>1.2586532410320959</v>
      </c>
      <c r="P71" s="5" t="s">
        <v>1666</v>
      </c>
      <c r="Q71" s="4">
        <v>52300</v>
      </c>
      <c r="R71" s="4">
        <v>1105</v>
      </c>
      <c r="S71" s="4">
        <v>247</v>
      </c>
      <c r="T71" s="4">
        <v>0</v>
      </c>
      <c r="U71" s="4">
        <v>37</v>
      </c>
      <c r="V71" s="4">
        <v>17200</v>
      </c>
      <c r="W71" s="4">
        <v>23</v>
      </c>
      <c r="X71" s="1" t="s">
        <v>23</v>
      </c>
      <c r="Y71" s="1" t="s">
        <v>1665</v>
      </c>
      <c r="Z71" s="3">
        <v>45176.019236111111</v>
      </c>
      <c r="AA71" s="2" t="s">
        <v>1664</v>
      </c>
      <c r="AB71" s="1" t="s">
        <v>1663</v>
      </c>
    </row>
    <row r="72" spans="1:28">
      <c r="A72" s="4">
        <v>70</v>
      </c>
      <c r="B72" s="1" t="s">
        <v>1662</v>
      </c>
      <c r="C72" s="1" t="s">
        <v>1661</v>
      </c>
      <c r="D72" s="5" t="s">
        <v>1660</v>
      </c>
      <c r="E72" s="1" t="s">
        <v>1659</v>
      </c>
      <c r="F72" s="1" t="s">
        <v>1658</v>
      </c>
      <c r="G72" s="10"/>
      <c r="H72" s="10" t="str">
        <f>IF(Q72&lt;100000,"1.마이크로-10만명 미만","2.메가-10만명 이상")</f>
        <v>1.마이크로-10만명 미만</v>
      </c>
      <c r="I72" s="10" t="str">
        <f ca="1">IFERROR(__xludf.DUMMYFUNCTION("iferror(REGEXEXTRACT(E72,""[a-zA-Z0-9._%+-]+@[a-zA-Z0-9.-]+\.[a-zA-Z]{2,}""),""2.이메일 없음"")"),"kamie@jabberhaus.com")</f>
        <v>kamie@jabberhaus.com</v>
      </c>
      <c r="J72" s="10">
        <f>IFERROR((S72+T72+U72)/V72,"")</f>
        <v>0.11661359393872846</v>
      </c>
      <c r="K72" s="9">
        <f>IFERROR(U72/V72,"")</f>
        <v>2.1961128802020424E-3</v>
      </c>
      <c r="L72" s="8">
        <f>IFERROR(MIN(Q72/1000*1.5, 150),"")</f>
        <v>66.900000000000006</v>
      </c>
      <c r="M72" s="7">
        <f>IFERROR(V72/Q72,"")</f>
        <v>0.20419282511210762</v>
      </c>
      <c r="N72" s="6">
        <f>IFERROR((S72+U72)/Q72,"")</f>
        <v>2.3699551569506726E-2</v>
      </c>
      <c r="O72" s="6">
        <f>IFERROR(100/(L72+1),"")</f>
        <v>1.4727540500736376</v>
      </c>
      <c r="P72" s="5" t="s">
        <v>1657</v>
      </c>
      <c r="Q72" s="4">
        <v>44600</v>
      </c>
      <c r="R72" s="4">
        <v>852</v>
      </c>
      <c r="S72" s="4">
        <v>1037</v>
      </c>
      <c r="T72" s="4">
        <v>5</v>
      </c>
      <c r="U72" s="4">
        <v>20</v>
      </c>
      <c r="V72" s="4">
        <v>9107</v>
      </c>
      <c r="W72" s="4">
        <v>68</v>
      </c>
      <c r="X72" s="1" t="s">
        <v>1656</v>
      </c>
      <c r="Y72" s="1" t="s">
        <v>1655</v>
      </c>
      <c r="Z72" s="3">
        <v>45802.119155092594</v>
      </c>
      <c r="AA72" s="2" t="s">
        <v>1654</v>
      </c>
      <c r="AB72" s="1" t="s">
        <v>1653</v>
      </c>
    </row>
    <row r="73" spans="1:28">
      <c r="A73" s="4">
        <v>71</v>
      </c>
      <c r="B73" s="1" t="s">
        <v>1652</v>
      </c>
      <c r="C73" s="1" t="s">
        <v>1647</v>
      </c>
      <c r="D73" s="5" t="s">
        <v>1651</v>
      </c>
      <c r="E73" s="1" t="s">
        <v>1650</v>
      </c>
      <c r="F73" s="1" t="s">
        <v>1649</v>
      </c>
      <c r="G73" s="10"/>
      <c r="H73" s="10" t="str">
        <f>IF(Q73&lt;100000,"1.마이크로-10만명 미만","2.메가-10만명 이상")</f>
        <v>2.메가-10만명 이상</v>
      </c>
      <c r="I73" s="10" t="str">
        <f ca="1">IFERROR(__xludf.DUMMYFUNCTION("iferror(REGEXEXTRACT(E73,""[a-zA-Z0-9._%+-]+@[a-zA-Z0-9.-]+\.[a-zA-Z]{2,}""),""2.이메일 없음"")"),"kayla.whiteh@thedigitalbrandarchitects.com")</f>
        <v>kayla.whiteh@thedigitalbrandarchitects.com</v>
      </c>
      <c r="J73" s="10">
        <f>IFERROR((S73+T73+U73)/V73,"")</f>
        <v>0.22198444444444446</v>
      </c>
      <c r="K73" s="9">
        <f>IFERROR(U73/V73,"")</f>
        <v>5.4222222222222226E-4</v>
      </c>
      <c r="L73" s="8">
        <f>IFERROR(MIN(Q73/1000*1.5, 150),"")</f>
        <v>150</v>
      </c>
      <c r="M73" s="7">
        <f>IFERROR(V73/Q73,"")</f>
        <v>0.78260869565217395</v>
      </c>
      <c r="N73" s="6">
        <f>IFERROR((S73+U73)/Q73,"")</f>
        <v>0.17194608695652175</v>
      </c>
      <c r="O73" s="6">
        <f>IFERROR(100/(L73+1),"")</f>
        <v>0.66225165562913912</v>
      </c>
      <c r="P73" s="5" t="s">
        <v>1648</v>
      </c>
      <c r="Q73" s="4">
        <v>2300000</v>
      </c>
      <c r="R73" s="4">
        <v>1372</v>
      </c>
      <c r="S73" s="4">
        <v>394500</v>
      </c>
      <c r="T73" s="4">
        <v>4096</v>
      </c>
      <c r="U73" s="4">
        <v>976</v>
      </c>
      <c r="V73" s="4">
        <v>1800000</v>
      </c>
      <c r="W73" s="4">
        <v>96</v>
      </c>
      <c r="X73" s="1" t="s">
        <v>23</v>
      </c>
      <c r="Y73" s="1" t="s">
        <v>1647</v>
      </c>
      <c r="Z73" s="3">
        <v>45630.297222222223</v>
      </c>
      <c r="AA73" s="2" t="s">
        <v>1646</v>
      </c>
      <c r="AB73" s="1" t="s">
        <v>1645</v>
      </c>
    </row>
    <row r="74" spans="1:28">
      <c r="A74" s="4">
        <v>72</v>
      </c>
      <c r="B74" s="1" t="s">
        <v>1644</v>
      </c>
      <c r="C74" s="1" t="s">
        <v>1639</v>
      </c>
      <c r="D74" s="5" t="s">
        <v>1643</v>
      </c>
      <c r="E74" s="1" t="s">
        <v>1642</v>
      </c>
      <c r="F74" s="1" t="s">
        <v>1641</v>
      </c>
      <c r="G74" s="10"/>
      <c r="H74" s="10" t="str">
        <f>IF(Q74&lt;100000,"1.마이크로-10만명 미만","2.메가-10만명 이상")</f>
        <v>2.메가-10만명 이상</v>
      </c>
      <c r="I74" s="10" t="str">
        <f ca="1">IFERROR(__xludf.DUMMYFUNCTION("iferror(REGEXEXTRACT(E74,""[a-zA-Z0-9._%+-]+@[a-zA-Z0-9.-]+\.[a-zA-Z]{2,}""),""2.이메일 없음"")"),"itsjadasasha@gmail.com")</f>
        <v>itsjadasasha@gmail.com</v>
      </c>
      <c r="J74" s="10">
        <f>IFERROR((S74+T74+U74)/V74,"")</f>
        <v>2.01E-2</v>
      </c>
      <c r="K74" s="9">
        <f>IFERROR(U74/V74,"")</f>
        <v>1.5499999999999999E-3</v>
      </c>
      <c r="L74" s="8">
        <f>IFERROR(MIN(Q74/1000*1.5, 150),"")</f>
        <v>150</v>
      </c>
      <c r="M74" s="7">
        <f>IFERROR(V74/Q74,"")</f>
        <v>5.3290700772715159E-2</v>
      </c>
      <c r="N74" s="6">
        <f>IFERROR((S74+U74)/Q74,"")</f>
        <v>9.4324540367705836E-4</v>
      </c>
      <c r="O74" s="6">
        <f>IFERROR(100/(L74+1),"")</f>
        <v>0.66225165562913912</v>
      </c>
      <c r="P74" s="5" t="s">
        <v>1640</v>
      </c>
      <c r="Q74" s="4">
        <v>375300</v>
      </c>
      <c r="R74" s="4">
        <v>1950</v>
      </c>
      <c r="S74" s="4">
        <v>323</v>
      </c>
      <c r="T74" s="4">
        <v>48</v>
      </c>
      <c r="U74" s="4">
        <v>31</v>
      </c>
      <c r="V74" s="4">
        <v>20000</v>
      </c>
      <c r="W74" s="4">
        <v>25</v>
      </c>
      <c r="X74" s="1" t="s">
        <v>23</v>
      </c>
      <c r="Y74" s="1" t="s">
        <v>1639</v>
      </c>
      <c r="Z74" s="3">
        <v>45700.248229166667</v>
      </c>
      <c r="AA74" s="2" t="s">
        <v>1638</v>
      </c>
      <c r="AB74" s="1">
        <v>615467</v>
      </c>
    </row>
    <row r="75" spans="1:28">
      <c r="A75" s="4">
        <v>73</v>
      </c>
      <c r="B75" s="1" t="s">
        <v>1633</v>
      </c>
      <c r="C75" s="1" t="s">
        <v>1633</v>
      </c>
      <c r="D75" s="5" t="s">
        <v>1637</v>
      </c>
      <c r="E75" s="1" t="s">
        <v>1636</v>
      </c>
      <c r="F75" s="1" t="s">
        <v>1635</v>
      </c>
      <c r="G75" s="10"/>
      <c r="H75" s="10" t="str">
        <f>IF(Q75&lt;100000,"1.마이크로-10만명 미만","2.메가-10만명 이상")</f>
        <v>2.메가-10만명 이상</v>
      </c>
      <c r="I75" s="10" t="str">
        <f ca="1">IFERROR(__xludf.DUMMYFUNCTION("iferror(REGEXEXTRACT(E75,""[a-zA-Z0-9._%+-]+@[a-zA-Z0-9.-]+\.[a-zA-Z]{2,}""),""2.이메일 없음"")"),"manana@lulucreativemedia.com")</f>
        <v>manana@lulucreativemedia.com</v>
      </c>
      <c r="J75" s="10">
        <f>IFERROR((S75+T75+U75)/V75,"")</f>
        <v>4.3844827586206898E-2</v>
      </c>
      <c r="K75" s="9">
        <f>IFERROR(U75/V75,"")</f>
        <v>1.8965517241379309E-4</v>
      </c>
      <c r="L75" s="8">
        <f>IFERROR(MIN(Q75/1000*1.5, 150),"")</f>
        <v>150</v>
      </c>
      <c r="M75" s="7">
        <f>IFERROR(V75/Q75,"")</f>
        <v>0.19352686019352686</v>
      </c>
      <c r="N75" s="6">
        <f>IFERROR((S75+U75)/Q75,"")</f>
        <v>8.269936603269936E-3</v>
      </c>
      <c r="O75" s="6">
        <f>IFERROR(100/(L75+1),"")</f>
        <v>0.66225165562913912</v>
      </c>
      <c r="P75" s="5" t="s">
        <v>1634</v>
      </c>
      <c r="Q75" s="4">
        <v>599400</v>
      </c>
      <c r="R75" s="4">
        <v>2229</v>
      </c>
      <c r="S75" s="4">
        <v>4935</v>
      </c>
      <c r="T75" s="4">
        <v>129</v>
      </c>
      <c r="U75" s="4">
        <v>22</v>
      </c>
      <c r="V75" s="4">
        <v>116000</v>
      </c>
      <c r="W75" s="4">
        <v>26</v>
      </c>
      <c r="X75" s="1" t="s">
        <v>23</v>
      </c>
      <c r="Y75" s="1" t="s">
        <v>1633</v>
      </c>
      <c r="Z75" s="3">
        <v>45646.412534722222</v>
      </c>
      <c r="AA75" s="2" t="s">
        <v>1632</v>
      </c>
      <c r="AB75" s="1" t="s">
        <v>1631</v>
      </c>
    </row>
    <row r="76" spans="1:28">
      <c r="A76" s="4">
        <v>74</v>
      </c>
      <c r="B76" s="1" t="s">
        <v>909</v>
      </c>
      <c r="C76" s="1" t="s">
        <v>904</v>
      </c>
      <c r="D76" s="5" t="s">
        <v>908</v>
      </c>
      <c r="E76" s="14" t="s">
        <v>907</v>
      </c>
      <c r="F76" s="1" t="s">
        <v>1630</v>
      </c>
      <c r="G76" s="10"/>
      <c r="H76" s="10" t="str">
        <f>IF(Q76&lt;100000,"1.마이크로-10만명 미만","2.메가-10만명 이상")</f>
        <v>2.메가-10만명 이상</v>
      </c>
      <c r="I76" s="10" t="str">
        <f ca="1">IFERROR(__xludf.DUMMYFUNCTION("iferror(REGEXEXTRACT(E76,""[a-zA-Z0-9._%+-]+@[a-zA-Z0-9.-]+\.[a-zA-Z]{2,}""),""2.이메일 없음"")"),"kaigibsonxx@gmail.com")</f>
        <v>kaigibsonxx@gmail.com</v>
      </c>
      <c r="J76" s="10">
        <f>IFERROR((S76+T76+U76)/V76,"")</f>
        <v>0.15254032258064515</v>
      </c>
      <c r="K76" s="9">
        <f>IFERROR(U76/V76,"")</f>
        <v>1.0080645161290322E-3</v>
      </c>
      <c r="L76" s="8">
        <f>IFERROR(MIN(Q76/1000*1.5, 150),"")</f>
        <v>150</v>
      </c>
      <c r="M76" s="7">
        <f>IFERROR(V76/Q76,"")</f>
        <v>0.16916780354706684</v>
      </c>
      <c r="N76" s="6">
        <f>IFERROR((S76+U76)/Q76,"")</f>
        <v>2.5620736698499319E-2</v>
      </c>
      <c r="O76" s="6">
        <f>IFERROR(100/(L76+1),"")</f>
        <v>0.66225165562913912</v>
      </c>
      <c r="P76" s="5" t="s">
        <v>1629</v>
      </c>
      <c r="Q76" s="4">
        <v>146600</v>
      </c>
      <c r="R76" s="4">
        <v>2638</v>
      </c>
      <c r="S76" s="4">
        <v>3731</v>
      </c>
      <c r="T76" s="4">
        <v>27</v>
      </c>
      <c r="U76" s="4">
        <v>25</v>
      </c>
      <c r="V76" s="4">
        <v>24800</v>
      </c>
      <c r="W76" s="4">
        <v>96</v>
      </c>
      <c r="X76" s="1" t="s">
        <v>23</v>
      </c>
      <c r="Y76" s="1" t="s">
        <v>904</v>
      </c>
      <c r="Z76" s="3">
        <v>45869.956122685187</v>
      </c>
      <c r="AA76" s="2" t="s">
        <v>1628</v>
      </c>
      <c r="AB76" s="1" t="s">
        <v>902</v>
      </c>
    </row>
    <row r="77" spans="1:28">
      <c r="A77" s="4">
        <v>75</v>
      </c>
      <c r="B77" s="1" t="s">
        <v>1627</v>
      </c>
      <c r="C77" s="1" t="s">
        <v>1622</v>
      </c>
      <c r="D77" s="5" t="s">
        <v>1626</v>
      </c>
      <c r="E77" s="1" t="s">
        <v>1625</v>
      </c>
      <c r="F77" s="1" t="s">
        <v>1624</v>
      </c>
      <c r="G77" s="10"/>
      <c r="H77" s="10" t="str">
        <f>IF(Q77&lt;100000,"1.마이크로-10만명 미만","2.메가-10만명 이상")</f>
        <v>2.메가-10만명 이상</v>
      </c>
      <c r="I77" s="10" t="str">
        <f ca="1">IFERROR(__xludf.DUMMYFUNCTION("iferror(REGEXEXTRACT(E77,""[a-zA-Z0-9._%+-]+@[a-zA-Z0-9.-]+\.[a-zA-Z]{2,}""),""2.이메일 없음"")"),"2.이메일 없음")</f>
        <v>2.이메일 없음</v>
      </c>
      <c r="J77" s="10">
        <f>IFERROR((S77+T77+U77)/V77,"")</f>
        <v>7.9230458493233694E-2</v>
      </c>
      <c r="K77" s="9">
        <f>IFERROR(U77/V77,"")</f>
        <v>2.2015754393051907E-4</v>
      </c>
      <c r="L77" s="8">
        <f>IFERROR(MIN(Q77/1000*1.5, 150),"")</f>
        <v>150</v>
      </c>
      <c r="M77" s="7">
        <f>IFERROR(V77/Q77,"")</f>
        <v>1.5309214594928882</v>
      </c>
      <c r="N77" s="6">
        <f>IFERROR((S77+U77)/Q77,"")</f>
        <v>0.11876623376623377</v>
      </c>
      <c r="O77" s="6">
        <f>IFERROR(100/(L77+1),"")</f>
        <v>0.66225165562913912</v>
      </c>
      <c r="P77" s="5" t="s">
        <v>1623</v>
      </c>
      <c r="Q77" s="4">
        <v>323400</v>
      </c>
      <c r="R77" s="4">
        <v>702</v>
      </c>
      <c r="S77" s="4">
        <v>38300</v>
      </c>
      <c r="T77" s="4">
        <v>818</v>
      </c>
      <c r="U77" s="4">
        <v>109</v>
      </c>
      <c r="V77" s="4">
        <v>495100</v>
      </c>
      <c r="W77" s="4">
        <v>58</v>
      </c>
      <c r="X77" s="1" t="s">
        <v>23</v>
      </c>
      <c r="Y77" s="1" t="s">
        <v>1622</v>
      </c>
      <c r="Z77" s="3">
        <v>45645.427881944444</v>
      </c>
      <c r="AA77" s="2" t="s">
        <v>1621</v>
      </c>
      <c r="AB77" s="1" t="s">
        <v>1620</v>
      </c>
    </row>
    <row r="78" spans="1:28">
      <c r="A78" s="4">
        <v>76</v>
      </c>
      <c r="B78" s="1" t="s">
        <v>1619</v>
      </c>
      <c r="C78" s="1" t="s">
        <v>1618</v>
      </c>
      <c r="D78" s="5" t="s">
        <v>1617</v>
      </c>
      <c r="E78" s="1" t="s">
        <v>1616</v>
      </c>
      <c r="F78" s="1" t="s">
        <v>1615</v>
      </c>
      <c r="G78" s="10"/>
      <c r="H78" s="10" t="str">
        <f>IF(Q78&lt;100000,"1.마이크로-10만명 미만","2.메가-10만명 이상")</f>
        <v>2.메가-10만명 이상</v>
      </c>
      <c r="I78" s="10" t="str">
        <f ca="1">IFERROR(__xludf.DUMMYFUNCTION("iferror(REGEXEXTRACT(E78,""[a-zA-Z0-9._%+-]+@[a-zA-Z0-9.-]+\.[a-zA-Z]{2,}""),""2.이메일 없음"")"),"samira@portraitmgmt.com")</f>
        <v>samira@portraitmgmt.com</v>
      </c>
      <c r="J78" s="10">
        <f>IFERROR((S78+T78+U78)/V78,"")</f>
        <v>3.1682389937106918E-2</v>
      </c>
      <c r="K78" s="9">
        <f>IFERROR(U78/V78,"")</f>
        <v>2.3584905660377359E-4</v>
      </c>
      <c r="L78" s="8">
        <f>IFERROR(MIN(Q78/1000*1.5, 150),"")</f>
        <v>150</v>
      </c>
      <c r="M78" s="7">
        <f>IFERROR(V78/Q78,"")</f>
        <v>0.34322719913653532</v>
      </c>
      <c r="N78" s="6">
        <f>IFERROR((S78+U78)/Q78,"")</f>
        <v>1.0491095520777118E-2</v>
      </c>
      <c r="O78" s="6">
        <f>IFERROR(100/(L78+1),"")</f>
        <v>0.66225165562913912</v>
      </c>
      <c r="P78" s="5" t="s">
        <v>1614</v>
      </c>
      <c r="Q78" s="4">
        <v>185300</v>
      </c>
      <c r="R78" s="4">
        <v>305</v>
      </c>
      <c r="S78" s="4">
        <v>1929</v>
      </c>
      <c r="T78" s="4">
        <v>71</v>
      </c>
      <c r="U78" s="4">
        <v>15</v>
      </c>
      <c r="V78" s="4">
        <v>63600</v>
      </c>
      <c r="W78" s="4">
        <v>19</v>
      </c>
      <c r="X78" s="1" t="s">
        <v>1613</v>
      </c>
      <c r="Y78" s="1" t="s">
        <v>1612</v>
      </c>
      <c r="Z78" s="3">
        <v>45777.08697916667</v>
      </c>
      <c r="AA78" s="2" t="s">
        <v>1611</v>
      </c>
      <c r="AB78" s="1" t="s">
        <v>1610</v>
      </c>
    </row>
    <row r="79" spans="1:28">
      <c r="A79" s="4">
        <v>77</v>
      </c>
      <c r="B79" s="1" t="s">
        <v>1609</v>
      </c>
      <c r="C79" s="1" t="s">
        <v>1609</v>
      </c>
      <c r="D79" s="5" t="s">
        <v>1608</v>
      </c>
      <c r="E79" s="1" t="s">
        <v>1607</v>
      </c>
      <c r="F79" s="1" t="s">
        <v>1606</v>
      </c>
      <c r="G79" s="10"/>
      <c r="H79" s="10" t="str">
        <f>IF(Q79&lt;100000,"1.마이크로-10만명 미만","2.메가-10만명 이상")</f>
        <v>2.메가-10만명 이상</v>
      </c>
      <c r="I79" s="10" t="str">
        <f ca="1">IFERROR(__xludf.DUMMYFUNCTION("iferror(REGEXEXTRACT(E79,""[a-zA-Z0-9._%+-]+@[a-zA-Z0-9.-]+\.[a-zA-Z]{2,}""),""2.이메일 없음"")"),"kelsei@digitalstreamers.com")</f>
        <v>kelsei@digitalstreamers.com</v>
      </c>
      <c r="J79" s="10">
        <f>IFERROR((S79+T79+U79)/V79,"")</f>
        <v>0.1351008064516129</v>
      </c>
      <c r="K79" s="9">
        <f>IFERROR(U79/V79,"")</f>
        <v>8.5181451612903231E-4</v>
      </c>
      <c r="L79" s="8">
        <f>IFERROR(MIN(Q79/1000*1.5, 150),"")</f>
        <v>150</v>
      </c>
      <c r="M79" s="7">
        <f>IFERROR(V79/Q79,"")</f>
        <v>0.26040162751017193</v>
      </c>
      <c r="N79" s="6">
        <f>IFERROR((S79+U79)/Q79,"")</f>
        <v>3.500328127050794E-2</v>
      </c>
      <c r="O79" s="6">
        <f>IFERROR(100/(L79+1),"")</f>
        <v>0.66225165562913912</v>
      </c>
      <c r="P79" s="5" t="s">
        <v>1605</v>
      </c>
      <c r="Q79" s="4">
        <v>761900</v>
      </c>
      <c r="R79" s="4">
        <v>1061</v>
      </c>
      <c r="S79" s="4">
        <v>26500</v>
      </c>
      <c r="T79" s="4">
        <v>135</v>
      </c>
      <c r="U79" s="4">
        <v>169</v>
      </c>
      <c r="V79" s="4">
        <v>198400</v>
      </c>
      <c r="W79" s="4">
        <v>5</v>
      </c>
      <c r="X79" s="1" t="s">
        <v>1557</v>
      </c>
      <c r="Y79" s="1" t="s">
        <v>159</v>
      </c>
      <c r="Z79" s="3">
        <v>45713.323159722226</v>
      </c>
      <c r="AA79" s="2" t="s">
        <v>1604</v>
      </c>
      <c r="AB79" s="1" t="s">
        <v>1603</v>
      </c>
    </row>
    <row r="80" spans="1:28">
      <c r="A80" s="4">
        <v>78</v>
      </c>
      <c r="B80" s="1" t="s">
        <v>1602</v>
      </c>
      <c r="C80" s="1" t="s">
        <v>1602</v>
      </c>
      <c r="D80" s="5" t="s">
        <v>1601</v>
      </c>
      <c r="E80" s="1" t="s">
        <v>1600</v>
      </c>
      <c r="F80" s="1" t="s">
        <v>1599</v>
      </c>
      <c r="G80" s="10"/>
      <c r="H80" s="10" t="str">
        <f>IF(Q80&lt;100000,"1.마이크로-10만명 미만","2.메가-10만명 이상")</f>
        <v>2.메가-10만명 이상</v>
      </c>
      <c r="I80" s="10" t="str">
        <f ca="1">IFERROR(__xludf.DUMMYFUNCTION("iferror(REGEXEXTRACT(E80,""[a-zA-Z0-9._%+-]+@[a-zA-Z0-9.-]+\.[a-zA-Z]{2,}""),""2.이메일 없음"")"),"SmithJaciMarieGroup@caa.com")</f>
        <v>SmithJaciMarieGroup@caa.com</v>
      </c>
      <c r="J80" s="10">
        <f>IFERROR((S80+T80+U80)/V80,"")</f>
        <v>9.4048203525998658E-2</v>
      </c>
      <c r="K80" s="9">
        <f>IFERROR(U80/V80,"")</f>
        <v>5.8022762776166036E-4</v>
      </c>
      <c r="L80" s="8">
        <f>IFERROR(MIN(Q80/1000*1.5, 150),"")</f>
        <v>150</v>
      </c>
      <c r="M80" s="7">
        <f>IFERROR(V80/Q80,"")</f>
        <v>0.50291806958473628</v>
      </c>
      <c r="N80" s="6">
        <f>IFERROR((S80+U80)/Q80,"")</f>
        <v>4.6980920314253646E-2</v>
      </c>
      <c r="O80" s="6">
        <f>IFERROR(100/(L80+1),"")</f>
        <v>0.66225165562913912</v>
      </c>
      <c r="P80" s="5" t="s">
        <v>1598</v>
      </c>
      <c r="Q80" s="4">
        <v>891000</v>
      </c>
      <c r="R80" s="4">
        <v>2984</v>
      </c>
      <c r="S80" s="4">
        <v>41600</v>
      </c>
      <c r="T80" s="4">
        <v>283</v>
      </c>
      <c r="U80" s="4">
        <v>260</v>
      </c>
      <c r="V80" s="4">
        <v>448100</v>
      </c>
      <c r="W80" s="4">
        <v>29</v>
      </c>
      <c r="X80" s="1" t="s">
        <v>23</v>
      </c>
      <c r="Y80" s="1" t="s">
        <v>159</v>
      </c>
      <c r="Z80" s="3">
        <v>45225.394282407404</v>
      </c>
      <c r="AA80" s="2" t="s">
        <v>1597</v>
      </c>
      <c r="AB80" s="1" t="s">
        <v>1596</v>
      </c>
    </row>
    <row r="81" spans="1:28">
      <c r="A81" s="4">
        <v>79</v>
      </c>
      <c r="B81" s="1" t="s">
        <v>1595</v>
      </c>
      <c r="C81" s="1" t="s">
        <v>1589</v>
      </c>
      <c r="D81" s="5" t="s">
        <v>1594</v>
      </c>
      <c r="E81" s="1" t="s">
        <v>1593</v>
      </c>
      <c r="F81" s="1" t="s">
        <v>1592</v>
      </c>
      <c r="G81" s="10"/>
      <c r="H81" s="10" t="str">
        <f>IF(Q81&lt;100000,"1.마이크로-10만명 미만","2.메가-10만명 이상")</f>
        <v>1.마이크로-10만명 미만</v>
      </c>
      <c r="I81" s="10" t="str">
        <f ca="1">IFERROR(__xludf.DUMMYFUNCTION("iferror(REGEXEXTRACT(E81,""[a-zA-Z0-9._%+-]+@[a-zA-Z0-9.-]+\.[a-zA-Z]{2,}""),""2.이메일 없음"")"),"2.이메일 없음")</f>
        <v>2.이메일 없음</v>
      </c>
      <c r="J81" s="10">
        <f>IFERROR((S81+T81+U81)/V81,"")</f>
        <v>7.8006872852233681E-3</v>
      </c>
      <c r="K81" s="9">
        <f>IFERROR(U81/V81,"")</f>
        <v>1.7182130584192441E-4</v>
      </c>
      <c r="L81" s="8">
        <f>IFERROR(MIN(Q81/1000*1.5, 150),"")</f>
        <v>0.1575</v>
      </c>
      <c r="M81" s="7">
        <f>IFERROR(V81/Q81,"")</f>
        <v>277.14285714285717</v>
      </c>
      <c r="N81" s="6">
        <f>IFERROR((S81+U81)/Q81,"")</f>
        <v>1.5142857142857142</v>
      </c>
      <c r="O81" s="6">
        <f>IFERROR(100/(L81+1),"")</f>
        <v>86.393088552915771</v>
      </c>
      <c r="P81" s="5" t="s">
        <v>1591</v>
      </c>
      <c r="Q81" s="4">
        <v>105</v>
      </c>
      <c r="R81" s="4">
        <v>27</v>
      </c>
      <c r="S81" s="4">
        <v>154</v>
      </c>
      <c r="T81" s="4">
        <v>68</v>
      </c>
      <c r="U81" s="4">
        <v>5</v>
      </c>
      <c r="V81" s="4">
        <v>29100</v>
      </c>
      <c r="W81" s="4">
        <v>29</v>
      </c>
      <c r="X81" s="1" t="s">
        <v>1590</v>
      </c>
      <c r="Y81" s="1" t="s">
        <v>1589</v>
      </c>
      <c r="Z81" s="3">
        <v>45617.590821759259</v>
      </c>
      <c r="AA81" s="2" t="s">
        <v>1588</v>
      </c>
      <c r="AB81" s="1" t="s">
        <v>1587</v>
      </c>
    </row>
    <row r="82" spans="1:28">
      <c r="A82" s="4">
        <v>80</v>
      </c>
      <c r="B82" s="1" t="s">
        <v>1582</v>
      </c>
      <c r="C82" s="1" t="s">
        <v>1582</v>
      </c>
      <c r="D82" s="5" t="s">
        <v>1586</v>
      </c>
      <c r="E82" s="1" t="s">
        <v>1585</v>
      </c>
      <c r="F82" s="1" t="s">
        <v>1584</v>
      </c>
      <c r="G82" s="10"/>
      <c r="H82" s="10" t="str">
        <f>IF(Q82&lt;100000,"1.마이크로-10만명 미만","2.메가-10만명 이상")</f>
        <v>1.마이크로-10만명 미만</v>
      </c>
      <c r="I82" s="10" t="str">
        <f ca="1">IFERROR(__xludf.DUMMYFUNCTION("iferror(REGEXEXTRACT(E82,""[a-zA-Z0-9._%+-]+@[a-zA-Z0-9.-]+\.[a-zA-Z]{2,}""),""2.이메일 없음"")"),"Partnership.michellesegredo@outlook.com")</f>
        <v>Partnership.michellesegredo@outlook.com</v>
      </c>
      <c r="J82" s="10">
        <f>IFERROR((S82+T82+U82)/V82,"")</f>
        <v>1.225625E-2</v>
      </c>
      <c r="K82" s="9">
        <f>IFERROR(U82/V82,"")</f>
        <v>7.6249999999999997E-5</v>
      </c>
      <c r="L82" s="8">
        <f>IFERROR(MIN(Q82/1000*1.5, 150),"")</f>
        <v>83.4</v>
      </c>
      <c r="M82" s="7">
        <f>IFERROR(V82/Q82,"")</f>
        <v>28.776978417266186</v>
      </c>
      <c r="N82" s="6">
        <f>IFERROR((S82+U82)/Q82,"")</f>
        <v>0.31154676258992808</v>
      </c>
      <c r="O82" s="6">
        <f>IFERROR(100/(L82+1),"")</f>
        <v>1.1848341232227488</v>
      </c>
      <c r="P82" s="5" t="s">
        <v>1583</v>
      </c>
      <c r="Q82" s="4">
        <v>55600</v>
      </c>
      <c r="R82" s="4">
        <v>592</v>
      </c>
      <c r="S82" s="4">
        <v>17200</v>
      </c>
      <c r="T82" s="4">
        <v>2288</v>
      </c>
      <c r="U82" s="4">
        <v>122</v>
      </c>
      <c r="V82" s="4">
        <v>1600000</v>
      </c>
      <c r="W82" s="4">
        <v>27</v>
      </c>
      <c r="X82" s="1" t="s">
        <v>23</v>
      </c>
      <c r="Y82" s="1" t="s">
        <v>1582</v>
      </c>
      <c r="Z82" s="3">
        <v>45182.117280092592</v>
      </c>
      <c r="AA82" s="2" t="s">
        <v>1581</v>
      </c>
      <c r="AB82" s="1" t="s">
        <v>1580</v>
      </c>
    </row>
    <row r="83" spans="1:28">
      <c r="A83" s="4">
        <v>81</v>
      </c>
      <c r="B83" s="1" t="s">
        <v>1579</v>
      </c>
      <c r="C83" s="1" t="s">
        <v>1579</v>
      </c>
      <c r="D83" s="5" t="s">
        <v>1578</v>
      </c>
      <c r="E83" s="1" t="s">
        <v>1577</v>
      </c>
      <c r="F83" s="1" t="s">
        <v>1576</v>
      </c>
      <c r="G83" s="10"/>
      <c r="H83" s="10" t="str">
        <f>IF(Q83&lt;100000,"1.마이크로-10만명 미만","2.메가-10만명 이상")</f>
        <v>1.마이크로-10만명 미만</v>
      </c>
      <c r="I83" s="10" t="str">
        <f ca="1">IFERROR(__xludf.DUMMYFUNCTION("iferror(REGEXEXTRACT(E83,""[a-zA-Z0-9._%+-]+@[a-zA-Z0-9.-]+\.[a-zA-Z]{2,}""),""2.이메일 없음"")"),"2.이메일 없음")</f>
        <v>2.이메일 없음</v>
      </c>
      <c r="J83" s="10">
        <f>IFERROR((S83+T83+U83)/V83,"")</f>
        <v>2.2586872586872586E-2</v>
      </c>
      <c r="K83" s="9">
        <f>IFERROR(U83/V83,"")</f>
        <v>3.2818532818532819E-4</v>
      </c>
      <c r="L83" s="8">
        <f>IFERROR(MIN(Q83/1000*1.5, 150),"")</f>
        <v>67.349999999999994</v>
      </c>
      <c r="M83" s="7">
        <f>IFERROR(V83/Q83,"")</f>
        <v>1.153674832962138</v>
      </c>
      <c r="N83" s="6">
        <f>IFERROR((S83+U83)/Q83,"")</f>
        <v>2.5835189309576838E-2</v>
      </c>
      <c r="O83" s="6">
        <f>IFERROR(100/(L83+1),"")</f>
        <v>1.463057790782736</v>
      </c>
      <c r="P83" s="5" t="s">
        <v>1575</v>
      </c>
      <c r="Q83" s="4">
        <v>44900</v>
      </c>
      <c r="R83" s="4">
        <v>2667</v>
      </c>
      <c r="S83" s="4">
        <v>1143</v>
      </c>
      <c r="T83" s="4">
        <v>10</v>
      </c>
      <c r="U83" s="4">
        <v>17</v>
      </c>
      <c r="V83" s="4">
        <v>51800</v>
      </c>
      <c r="W83" s="4">
        <v>10</v>
      </c>
      <c r="X83" s="1" t="s">
        <v>1574</v>
      </c>
      <c r="Y83" s="1" t="s">
        <v>1573</v>
      </c>
      <c r="Z83" s="3">
        <v>45197.269953703704</v>
      </c>
      <c r="AA83" s="2" t="s">
        <v>1572</v>
      </c>
      <c r="AB83" s="1">
        <v>28680987</v>
      </c>
    </row>
    <row r="84" spans="1:28">
      <c r="A84" s="4">
        <v>82</v>
      </c>
      <c r="B84" s="1" t="s">
        <v>1571</v>
      </c>
      <c r="C84" s="1" t="s">
        <v>1570</v>
      </c>
      <c r="D84" s="5" t="s">
        <v>1569</v>
      </c>
      <c r="E84" s="1" t="s">
        <v>1568</v>
      </c>
      <c r="F84" s="1" t="s">
        <v>1567</v>
      </c>
      <c r="G84" s="10"/>
      <c r="H84" s="10" t="str">
        <f>IF(Q84&lt;100000,"1.마이크로-10만명 미만","2.메가-10만명 이상")</f>
        <v>1.마이크로-10만명 미만</v>
      </c>
      <c r="I84" s="10" t="str">
        <f ca="1">IFERROR(__xludf.DUMMYFUNCTION("iferror(REGEXEXTRACT(E84,""[a-zA-Z0-9._%+-]+@[a-zA-Z0-9.-]+\.[a-zA-Z]{2,}""),""2.이메일 없음"")"),"reinadombrovska@gmail.com")</f>
        <v>reinadombrovska@gmail.com</v>
      </c>
      <c r="J84" s="10">
        <f>IFERROR((S84+T84+U84)/V84,"")</f>
        <v>7.0771312584573748E-3</v>
      </c>
      <c r="K84" s="9">
        <f>IFERROR(U84/V84,"")</f>
        <v>4.8714479025710418E-4</v>
      </c>
      <c r="L84" s="8">
        <f>IFERROR(MIN(Q84/1000*1.5, 150),"")</f>
        <v>10.290000000000001</v>
      </c>
      <c r="M84" s="7">
        <f>IFERROR(V84/Q84,"")</f>
        <v>10.772594752186588</v>
      </c>
      <c r="N84" s="6">
        <f>IFERROR((S84+U84)/Q84,"")</f>
        <v>5.6268221574344024E-2</v>
      </c>
      <c r="O84" s="6">
        <f>IFERROR(100/(L84+1),"")</f>
        <v>8.8573959255978743</v>
      </c>
      <c r="P84" s="5" t="s">
        <v>1566</v>
      </c>
      <c r="Q84" s="4">
        <v>6860</v>
      </c>
      <c r="R84" s="4">
        <v>1263</v>
      </c>
      <c r="S84" s="4">
        <v>350</v>
      </c>
      <c r="T84" s="4">
        <v>137</v>
      </c>
      <c r="U84" s="4">
        <v>36</v>
      </c>
      <c r="V84" s="4">
        <v>73900</v>
      </c>
      <c r="W84" s="4">
        <v>15</v>
      </c>
      <c r="X84" s="1" t="s">
        <v>1326</v>
      </c>
      <c r="Y84" s="1" t="s">
        <v>1325</v>
      </c>
      <c r="Z84" s="3">
        <v>45547.184282407405</v>
      </c>
      <c r="AA84" s="2" t="s">
        <v>1565</v>
      </c>
      <c r="AB84" s="1" t="s">
        <v>1564</v>
      </c>
    </row>
    <row r="85" spans="1:28">
      <c r="A85" s="4">
        <v>83</v>
      </c>
      <c r="B85" s="1" t="s">
        <v>1563</v>
      </c>
      <c r="C85" s="1" t="s">
        <v>1562</v>
      </c>
      <c r="D85" s="5" t="s">
        <v>1561</v>
      </c>
      <c r="E85" s="1" t="s">
        <v>1560</v>
      </c>
      <c r="F85" s="1" t="s">
        <v>1559</v>
      </c>
      <c r="G85" s="10"/>
      <c r="H85" s="10" t="str">
        <f>IF(Q85&lt;100000,"1.마이크로-10만명 미만","2.메가-10만명 이상")</f>
        <v>1.마이크로-10만명 미만</v>
      </c>
      <c r="I85" s="10" t="str">
        <f ca="1">IFERROR(__xludf.DUMMYFUNCTION("iferror(REGEXEXTRACT(E85,""[a-zA-Z0-9._%+-]+@[a-zA-Z0-9.-]+\.[a-zA-Z]{2,}""),""2.이메일 없음"")"),"jasminelaity1@outlook.com")</f>
        <v>jasminelaity1@outlook.com</v>
      </c>
      <c r="J85" s="10">
        <f>IFERROR((S85+T85+U85)/V85,"")</f>
        <v>7.397752808988764E-2</v>
      </c>
      <c r="K85" s="9">
        <f>IFERROR(U85/V85,"")</f>
        <v>4.4943820224719103E-4</v>
      </c>
      <c r="L85" s="8">
        <f>IFERROR(MIN(Q85/1000*1.5, 150),"")</f>
        <v>90.300000000000011</v>
      </c>
      <c r="M85" s="7">
        <f>IFERROR(V85/Q85,"")</f>
        <v>0.73920265780730898</v>
      </c>
      <c r="N85" s="6">
        <f>IFERROR((S85+U85)/Q85,"")</f>
        <v>5.3421926910299004E-2</v>
      </c>
      <c r="O85" s="6">
        <f>IFERROR(100/(L85+1),"")</f>
        <v>1.0952902519167578</v>
      </c>
      <c r="P85" s="5" t="s">
        <v>1558</v>
      </c>
      <c r="Q85" s="4">
        <v>60200</v>
      </c>
      <c r="R85" s="4">
        <v>225</v>
      </c>
      <c r="S85" s="4">
        <v>3196</v>
      </c>
      <c r="T85" s="4">
        <v>76</v>
      </c>
      <c r="U85" s="4">
        <v>20</v>
      </c>
      <c r="V85" s="4">
        <v>44500</v>
      </c>
      <c r="W85" s="4">
        <v>5</v>
      </c>
      <c r="X85" s="1" t="s">
        <v>1557</v>
      </c>
      <c r="Y85" s="1" t="s">
        <v>159</v>
      </c>
      <c r="Z85" s="3">
        <v>45715.9690162037</v>
      </c>
      <c r="AA85" s="2" t="s">
        <v>1556</v>
      </c>
      <c r="AB85" s="1" t="s">
        <v>1555</v>
      </c>
    </row>
    <row r="86" spans="1:28">
      <c r="A86" s="4">
        <v>84</v>
      </c>
      <c r="B86" s="1" t="s">
        <v>61</v>
      </c>
      <c r="C86" s="1" t="s">
        <v>60</v>
      </c>
      <c r="D86" s="5" t="s">
        <v>59</v>
      </c>
      <c r="E86" s="1" t="s">
        <v>58</v>
      </c>
      <c r="F86" s="1" t="s">
        <v>1554</v>
      </c>
      <c r="G86" s="10"/>
      <c r="H86" s="10" t="str">
        <f>IF(Q86&lt;100000,"1.마이크로-10만명 미만","2.메가-10만명 이상")</f>
        <v>2.메가-10만명 이상</v>
      </c>
      <c r="I86" s="10" t="str">
        <f ca="1">IFERROR(__xludf.DUMMYFUNCTION("iferror(REGEXEXTRACT(E86,""[a-zA-Z0-9._%+-]+@[a-zA-Z0-9.-]+\.[a-zA-Z]{2,}""),""2.이메일 없음"")"),"sadie@moxymgt.com")</f>
        <v>sadie@moxymgt.com</v>
      </c>
      <c r="J86" s="10">
        <f>IFERROR((S86+T86+U86)/V86,"")</f>
        <v>5.8917058823529413E-2</v>
      </c>
      <c r="K86" s="9">
        <f>IFERROR(U86/V86,"")</f>
        <v>8.8823529411764712E-5</v>
      </c>
      <c r="L86" s="8">
        <f>IFERROR(MIN(Q86/1000*1.5, 150),"")</f>
        <v>150</v>
      </c>
      <c r="M86" s="7">
        <f>IFERROR(V86/Q86,"")</f>
        <v>0.51515151515151514</v>
      </c>
      <c r="N86" s="6">
        <f>IFERROR((S86+U86)/Q86,"")</f>
        <v>2.9894242424242424E-2</v>
      </c>
      <c r="O86" s="6">
        <f>IFERROR(100/(L86+1),"")</f>
        <v>0.66225165562913912</v>
      </c>
      <c r="P86" s="5" t="s">
        <v>1553</v>
      </c>
      <c r="Q86" s="4">
        <v>3300000</v>
      </c>
      <c r="R86" s="4">
        <v>1236</v>
      </c>
      <c r="S86" s="4">
        <v>98500</v>
      </c>
      <c r="T86" s="4">
        <v>1508</v>
      </c>
      <c r="U86" s="4">
        <v>151</v>
      </c>
      <c r="V86" s="4">
        <v>1700000</v>
      </c>
      <c r="W86" s="4">
        <v>33</v>
      </c>
      <c r="X86" s="1" t="s">
        <v>23</v>
      </c>
      <c r="Y86" s="1" t="s">
        <v>60</v>
      </c>
      <c r="Z86" s="3">
        <v>45452.225057870368</v>
      </c>
      <c r="AA86" s="2" t="s">
        <v>1552</v>
      </c>
      <c r="AB86" s="1">
        <v>17698532</v>
      </c>
    </row>
    <row r="87" spans="1:28">
      <c r="A87" s="4">
        <v>85</v>
      </c>
      <c r="B87" s="1" t="s">
        <v>1551</v>
      </c>
      <c r="C87" s="1" t="s">
        <v>1546</v>
      </c>
      <c r="D87" s="5" t="s">
        <v>1550</v>
      </c>
      <c r="E87" s="1" t="s">
        <v>1549</v>
      </c>
      <c r="F87" s="1" t="s">
        <v>1548</v>
      </c>
      <c r="G87" s="10"/>
      <c r="H87" s="10" t="str">
        <f>IF(Q87&lt;100000,"1.마이크로-10만명 미만","2.메가-10만명 이상")</f>
        <v>2.메가-10만명 이상</v>
      </c>
      <c r="I87" s="10" t="str">
        <f ca="1">IFERROR(__xludf.DUMMYFUNCTION("iferror(REGEXEXTRACT(E87,""[a-zA-Z0-9._%+-]+@[a-zA-Z0-9.-]+\.[a-zA-Z]{2,}""),""2.이메일 없음"")"),"Vee_nailedit@hotmail.com")</f>
        <v>Vee_nailedit@hotmail.com</v>
      </c>
      <c r="J87" s="10">
        <f>IFERROR((S87+T87+U87)/V87,"")</f>
        <v>2.1704781704781705E-2</v>
      </c>
      <c r="K87" s="9">
        <f>IFERROR(U87/V87,"")</f>
        <v>2.7027027027027027E-4</v>
      </c>
      <c r="L87" s="8">
        <f>IFERROR(MIN(Q87/1000*1.5, 150),"")</f>
        <v>150</v>
      </c>
      <c r="M87" s="7">
        <f>IFERROR(V87/Q87,"")</f>
        <v>0.12470832253046409</v>
      </c>
      <c r="N87" s="6">
        <f>IFERROR((S87+U87)/Q87,"")</f>
        <v>2.5900959294788695E-3</v>
      </c>
      <c r="O87" s="6">
        <f>IFERROR(100/(L87+1),"")</f>
        <v>0.66225165562913912</v>
      </c>
      <c r="P87" s="5" t="s">
        <v>1547</v>
      </c>
      <c r="Q87" s="4">
        <v>385700</v>
      </c>
      <c r="R87" s="4">
        <v>737</v>
      </c>
      <c r="S87" s="4">
        <v>986</v>
      </c>
      <c r="T87" s="4">
        <v>45</v>
      </c>
      <c r="U87" s="4">
        <v>13</v>
      </c>
      <c r="V87" s="4">
        <v>48100</v>
      </c>
      <c r="W87" s="4">
        <v>21</v>
      </c>
      <c r="X87" s="1" t="s">
        <v>23</v>
      </c>
      <c r="Y87" s="1" t="s">
        <v>1546</v>
      </c>
      <c r="Z87" s="3">
        <v>45628.460532407407</v>
      </c>
      <c r="AA87" s="2" t="s">
        <v>1545</v>
      </c>
      <c r="AB87" s="1" t="s">
        <v>1544</v>
      </c>
    </row>
    <row r="88" spans="1:28">
      <c r="A88" s="4">
        <v>86</v>
      </c>
      <c r="B88" s="1" t="s">
        <v>743</v>
      </c>
      <c r="C88" s="1" t="s">
        <v>742</v>
      </c>
      <c r="D88" s="5" t="s">
        <v>741</v>
      </c>
      <c r="E88" s="1" t="s">
        <v>740</v>
      </c>
      <c r="F88" s="1" t="s">
        <v>1543</v>
      </c>
      <c r="G88" s="10"/>
      <c r="H88" s="10" t="str">
        <f>IF(Q88&lt;100000,"1.마이크로-10만명 미만","2.메가-10만명 이상")</f>
        <v>1.마이크로-10만명 미만</v>
      </c>
      <c r="I88" s="10" t="str">
        <f ca="1">IFERROR(__xludf.DUMMYFUNCTION("iferror(REGEXEXTRACT(E88,""[a-zA-Z0-9._%+-]+@[a-zA-Z0-9.-]+\.[a-zA-Z]{2,}""),""2.이메일 없음"")"),"2.이메일 없음")</f>
        <v>2.이메일 없음</v>
      </c>
      <c r="J88" s="10">
        <f>IFERROR((S88+T88+U88)/V88,"")</f>
        <v>0.11966192170818506</v>
      </c>
      <c r="K88" s="9">
        <f>IFERROR(U88/V88,"")</f>
        <v>4.2704626334519574E-4</v>
      </c>
      <c r="L88" s="8">
        <f>IFERROR(MIN(Q88/1000*1.5, 150),"")</f>
        <v>1.044</v>
      </c>
      <c r="M88" s="7">
        <f>IFERROR(V88/Q88,"")</f>
        <v>80.747126436781613</v>
      </c>
      <c r="N88" s="6">
        <f>IFERROR((S88+U88)/Q88,"")</f>
        <v>8.8448275862068968</v>
      </c>
      <c r="O88" s="6">
        <f>IFERROR(100/(L88+1),"")</f>
        <v>48.923679060665364</v>
      </c>
      <c r="P88" s="5" t="s">
        <v>1542</v>
      </c>
      <c r="Q88" s="4">
        <v>696</v>
      </c>
      <c r="R88" s="4">
        <v>126</v>
      </c>
      <c r="S88" s="4">
        <v>6132</v>
      </c>
      <c r="T88" s="4">
        <v>569</v>
      </c>
      <c r="U88" s="4">
        <v>24</v>
      </c>
      <c r="V88" s="4">
        <v>56200</v>
      </c>
      <c r="W88" s="4">
        <v>12</v>
      </c>
      <c r="X88" s="1" t="s">
        <v>1541</v>
      </c>
      <c r="Y88" s="1" t="s">
        <v>1540</v>
      </c>
      <c r="Z88" s="3">
        <v>45869.982094907406</v>
      </c>
      <c r="AA88" s="2" t="s">
        <v>1539</v>
      </c>
      <c r="AB88" s="1" t="s">
        <v>734</v>
      </c>
    </row>
    <row r="89" spans="1:28">
      <c r="A89" s="4">
        <v>87</v>
      </c>
      <c r="B89" s="1" t="s">
        <v>1538</v>
      </c>
      <c r="C89" s="1" t="s">
        <v>1533</v>
      </c>
      <c r="D89" s="5" t="s">
        <v>1537</v>
      </c>
      <c r="E89" s="1" t="s">
        <v>1536</v>
      </c>
      <c r="F89" s="1" t="s">
        <v>1535</v>
      </c>
      <c r="G89" s="10"/>
      <c r="H89" s="10" t="str">
        <f>IF(Q89&lt;100000,"1.마이크로-10만명 미만","2.메가-10만명 이상")</f>
        <v>1.마이크로-10만명 미만</v>
      </c>
      <c r="I89" s="10" t="str">
        <f ca="1">IFERROR(__xludf.DUMMYFUNCTION("iferror(REGEXEXTRACT(E89,""[a-zA-Z0-9._%+-]+@[a-zA-Z0-9.-]+\.[a-zA-Z]{2,}""),""2.이메일 없음"")"),"bri.defrancesco@gmail.com")</f>
        <v>bri.defrancesco@gmail.com</v>
      </c>
      <c r="J89" s="10">
        <f>IFERROR((S89+T89+U89)/V89,"")</f>
        <v>1.7256000000000001E-2</v>
      </c>
      <c r="K89" s="9">
        <f>IFERROR(U89/V89,"")</f>
        <v>1.55E-4</v>
      </c>
      <c r="L89" s="8">
        <f>IFERROR(MIN(Q89/1000*1.5, 150),"")</f>
        <v>24.75</v>
      </c>
      <c r="M89" s="7">
        <f>IFERROR(V89/Q89,"")</f>
        <v>60.606060606060609</v>
      </c>
      <c r="N89" s="6">
        <f>IFERROR((S89+U89)/Q89,"")</f>
        <v>0.87</v>
      </c>
      <c r="O89" s="6">
        <f>IFERROR(100/(L89+1),"")</f>
        <v>3.883495145631068</v>
      </c>
      <c r="P89" s="5" t="s">
        <v>1534</v>
      </c>
      <c r="Q89" s="4">
        <v>16500</v>
      </c>
      <c r="R89" s="4">
        <v>491</v>
      </c>
      <c r="S89" s="4">
        <v>14200</v>
      </c>
      <c r="T89" s="4">
        <v>2901</v>
      </c>
      <c r="U89" s="4">
        <v>155</v>
      </c>
      <c r="V89" s="4">
        <v>1000000</v>
      </c>
      <c r="W89" s="4">
        <v>18</v>
      </c>
      <c r="X89" s="1" t="s">
        <v>23</v>
      </c>
      <c r="Y89" s="1" t="s">
        <v>1533</v>
      </c>
      <c r="Z89" s="3">
        <v>45582.080555555556</v>
      </c>
      <c r="AA89" s="2" t="s">
        <v>1532</v>
      </c>
      <c r="AB89" s="1" t="s">
        <v>1531</v>
      </c>
    </row>
    <row r="90" spans="1:28">
      <c r="A90" s="4">
        <v>88</v>
      </c>
      <c r="B90" s="1" t="s">
        <v>1530</v>
      </c>
      <c r="C90" s="1" t="s">
        <v>1529</v>
      </c>
      <c r="D90" s="5" t="s">
        <v>1528</v>
      </c>
      <c r="E90" s="1" t="s">
        <v>1527</v>
      </c>
      <c r="F90" s="1" t="s">
        <v>1526</v>
      </c>
      <c r="G90" s="10"/>
      <c r="H90" s="10" t="str">
        <f>IF(Q90&lt;100000,"1.마이크로-10만명 미만","2.메가-10만명 이상")</f>
        <v>1.마이크로-10만명 미만</v>
      </c>
      <c r="I90" s="10" t="str">
        <f ca="1">IFERROR(__xludf.DUMMYFUNCTION("iferror(REGEXEXTRACT(E90,""[a-zA-Z0-9._%+-]+@[a-zA-Z0-9.-]+\.[a-zA-Z]{2,}""),""2.이메일 없음"")"),"hey.maggylove@gmail.com")</f>
        <v>hey.maggylove@gmail.com</v>
      </c>
      <c r="J90" s="10">
        <f>IFERROR((S90+T90+U90)/V90,"")</f>
        <v>2.7283236994219653E-2</v>
      </c>
      <c r="K90" s="9">
        <f>IFERROR(U90/V90,"")</f>
        <v>2.5433526011560694E-3</v>
      </c>
      <c r="L90" s="8">
        <f>IFERROR(MIN(Q90/1000*1.5, 150),"")</f>
        <v>26.25</v>
      </c>
      <c r="M90" s="7">
        <f>IFERROR(V90/Q90,"")</f>
        <v>0.98857142857142855</v>
      </c>
      <c r="N90" s="6">
        <f>IFERROR((S90+U90)/Q90,"")</f>
        <v>2.5085714285714284E-2</v>
      </c>
      <c r="O90" s="6">
        <f>IFERROR(100/(L90+1),"")</f>
        <v>3.669724770642202</v>
      </c>
      <c r="P90" s="5" t="s">
        <v>1525</v>
      </c>
      <c r="Q90" s="4">
        <v>17500</v>
      </c>
      <c r="R90" s="4">
        <v>483</v>
      </c>
      <c r="S90" s="4">
        <v>395</v>
      </c>
      <c r="T90" s="4">
        <v>33</v>
      </c>
      <c r="U90" s="4">
        <v>44</v>
      </c>
      <c r="V90" s="4">
        <v>17300</v>
      </c>
      <c r="W90" s="4">
        <v>27</v>
      </c>
      <c r="X90" s="1" t="s">
        <v>1524</v>
      </c>
      <c r="Y90" s="1" t="s">
        <v>1523</v>
      </c>
      <c r="Z90" s="3">
        <v>45685.110613425924</v>
      </c>
      <c r="AA90" s="2" t="s">
        <v>1522</v>
      </c>
      <c r="AB90" s="1" t="s">
        <v>1521</v>
      </c>
    </row>
    <row r="91" spans="1:28">
      <c r="A91" s="4">
        <v>89</v>
      </c>
      <c r="B91" s="1" t="s">
        <v>1520</v>
      </c>
      <c r="C91" s="1" t="s">
        <v>1519</v>
      </c>
      <c r="D91" s="5" t="s">
        <v>1518</v>
      </c>
      <c r="E91" s="1" t="s">
        <v>1517</v>
      </c>
      <c r="F91" s="1" t="s">
        <v>1516</v>
      </c>
      <c r="G91" s="10"/>
      <c r="H91" s="10" t="str">
        <f>IF(Q91&lt;100000,"1.마이크로-10만명 미만","2.메가-10만명 이상")</f>
        <v>2.메가-10만명 이상</v>
      </c>
      <c r="I91" s="10" t="str">
        <f ca="1">IFERROR(__xludf.DUMMYFUNCTION("iferror(REGEXEXTRACT(E91,""[a-zA-Z0-9._%+-]+@[a-zA-Z0-9.-]+\.[a-zA-Z]{2,}""),""2.이메일 없음"")"),"monika@impulsomedia.ca")</f>
        <v>monika@impulsomedia.ca</v>
      </c>
      <c r="J91" s="10">
        <f>IFERROR((S91+T91+U91)/V91,"")</f>
        <v>4.9799939375568356E-2</v>
      </c>
      <c r="K91" s="9">
        <f>IFERROR(U91/V91,"")</f>
        <v>1.4852985753258563E-4</v>
      </c>
      <c r="L91" s="8">
        <f>IFERROR(MIN(Q91/1000*1.5, 150),"")</f>
        <v>150</v>
      </c>
      <c r="M91" s="7">
        <f>IFERROR(V91/Q91,"")</f>
        <v>0.37776251001946637</v>
      </c>
      <c r="N91" s="6">
        <f>IFERROR((S91+U91)/Q91,"")</f>
        <v>1.7690369861445093E-2</v>
      </c>
      <c r="O91" s="6">
        <f>IFERROR(100/(L91+1),"")</f>
        <v>0.66225165562913912</v>
      </c>
      <c r="P91" s="5" t="s">
        <v>1515</v>
      </c>
      <c r="Q91" s="4">
        <v>873300</v>
      </c>
      <c r="R91" s="4">
        <v>1096</v>
      </c>
      <c r="S91" s="4">
        <v>15400</v>
      </c>
      <c r="T91" s="4">
        <v>980</v>
      </c>
      <c r="U91" s="4">
        <v>49</v>
      </c>
      <c r="V91" s="4">
        <v>329900</v>
      </c>
      <c r="W91" s="4">
        <v>43</v>
      </c>
      <c r="X91" s="1" t="s">
        <v>1514</v>
      </c>
      <c r="Y91" s="1" t="s">
        <v>766</v>
      </c>
      <c r="Z91" s="3">
        <v>45777.120162037034</v>
      </c>
      <c r="AA91" s="2" t="s">
        <v>1513</v>
      </c>
      <c r="AB91" s="1" t="s">
        <v>1512</v>
      </c>
    </row>
    <row r="92" spans="1:28">
      <c r="A92" s="4">
        <v>90</v>
      </c>
      <c r="B92" s="1" t="s">
        <v>1511</v>
      </c>
      <c r="C92" s="1" t="s">
        <v>1510</v>
      </c>
      <c r="D92" s="5" t="s">
        <v>1509</v>
      </c>
      <c r="E92" s="1" t="s">
        <v>1508</v>
      </c>
      <c r="F92" s="1" t="s">
        <v>1507</v>
      </c>
      <c r="G92" s="10"/>
      <c r="H92" s="10" t="str">
        <f>IF(Q92&lt;100000,"1.마이크로-10만명 미만","2.메가-10만명 이상")</f>
        <v>1.마이크로-10만명 미만</v>
      </c>
      <c r="I92" s="10" t="str">
        <f ca="1">IFERROR(__xludf.DUMMYFUNCTION("iferror(REGEXEXTRACT(E92,""[a-zA-Z0-9._%+-]+@[a-zA-Z0-9.-]+\.[a-zA-Z]{2,}""),""2.이메일 없음"")"),"aaliyah@migosmedia.com")</f>
        <v>aaliyah@migosmedia.com</v>
      </c>
      <c r="J92" s="10">
        <f>IFERROR((S92+T92+U92)/V92,"")</f>
        <v>1.2651872677979717E-2</v>
      </c>
      <c r="K92" s="9">
        <f>IFERROR(U92/V92,"")</f>
        <v>4.0164675168189579E-4</v>
      </c>
      <c r="L92" s="8">
        <f>IFERROR(MIN(Q92/1000*1.5, 150),"")</f>
        <v>71.699999999999989</v>
      </c>
      <c r="M92" s="7">
        <f>IFERROR(V92/Q92,"")</f>
        <v>0.20834728033472805</v>
      </c>
      <c r="N92" s="6">
        <f>IFERROR((S92+U92)/Q92,"")</f>
        <v>2.5523012552301255E-3</v>
      </c>
      <c r="O92" s="6">
        <f>IFERROR(100/(L92+1),"")</f>
        <v>1.3755158184319123</v>
      </c>
      <c r="P92" s="5" t="s">
        <v>1506</v>
      </c>
      <c r="Q92" s="4">
        <v>47800</v>
      </c>
      <c r="R92" s="4">
        <v>433</v>
      </c>
      <c r="S92" s="4">
        <v>118</v>
      </c>
      <c r="T92" s="4">
        <v>4</v>
      </c>
      <c r="U92" s="4">
        <v>4</v>
      </c>
      <c r="V92" s="4">
        <v>9959</v>
      </c>
      <c r="W92" s="4">
        <v>32</v>
      </c>
      <c r="X92" s="1" t="s">
        <v>1505</v>
      </c>
      <c r="Y92" s="1" t="s">
        <v>1504</v>
      </c>
      <c r="Z92" s="3">
        <v>45622.126469907409</v>
      </c>
      <c r="AA92" s="2" t="s">
        <v>1503</v>
      </c>
      <c r="AB92" s="1" t="s">
        <v>1502</v>
      </c>
    </row>
    <row r="93" spans="1:28">
      <c r="A93" s="4">
        <v>91</v>
      </c>
      <c r="B93" s="1" t="s">
        <v>1501</v>
      </c>
      <c r="C93" s="1" t="s">
        <v>1496</v>
      </c>
      <c r="D93" s="5" t="s">
        <v>1500</v>
      </c>
      <c r="E93" s="1" t="s">
        <v>1499</v>
      </c>
      <c r="F93" s="1" t="s">
        <v>1498</v>
      </c>
      <c r="G93" s="10"/>
      <c r="H93" s="10" t="str">
        <f>IF(Q93&lt;100000,"1.마이크로-10만명 미만","2.메가-10만명 이상")</f>
        <v>1.마이크로-10만명 미만</v>
      </c>
      <c r="I93" s="10" t="str">
        <f ca="1">IFERROR(__xludf.DUMMYFUNCTION("iferror(REGEXEXTRACT(E93,""[a-zA-Z0-9._%+-]+@[a-zA-Z0-9.-]+\.[a-zA-Z]{2,}""),""2.이메일 없음"")"),"alissaandrea.n@gmail.com")</f>
        <v>alissaandrea.n@gmail.com</v>
      </c>
      <c r="J93" s="10">
        <f>IFERROR((S93+T93+U93)/V93,"")</f>
        <v>9.7560476190476184E-2</v>
      </c>
      <c r="K93" s="9">
        <f>IFERROR(U93/V93,"")</f>
        <v>9.3809523809523814E-5</v>
      </c>
      <c r="L93" s="8">
        <f>IFERROR(MIN(Q93/1000*1.5, 150),"")</f>
        <v>6.2654999999999994</v>
      </c>
      <c r="M93" s="7">
        <f>IFERROR(V93/Q93,"")</f>
        <v>502.7531721331099</v>
      </c>
      <c r="N93" s="6">
        <f>IFERROR((S93+U93)/Q93,"")</f>
        <v>48.119942542494613</v>
      </c>
      <c r="O93" s="6">
        <f>IFERROR(100/(L93+1),"")</f>
        <v>13.763677654669328</v>
      </c>
      <c r="P93" s="5" t="s">
        <v>1497</v>
      </c>
      <c r="Q93" s="4">
        <v>4177</v>
      </c>
      <c r="R93" s="4">
        <v>198</v>
      </c>
      <c r="S93" s="4">
        <v>200800</v>
      </c>
      <c r="T93" s="4">
        <v>3880</v>
      </c>
      <c r="U93" s="4">
        <v>197</v>
      </c>
      <c r="V93" s="4">
        <v>2100000</v>
      </c>
      <c r="W93" s="4">
        <v>76</v>
      </c>
      <c r="X93" s="1" t="s">
        <v>23</v>
      </c>
      <c r="Y93" s="1" t="s">
        <v>1496</v>
      </c>
      <c r="Z93" s="3">
        <v>45832.411909722221</v>
      </c>
      <c r="AA93" s="2" t="s">
        <v>1495</v>
      </c>
      <c r="AB93" s="1" t="s">
        <v>1494</v>
      </c>
    </row>
    <row r="94" spans="1:28">
      <c r="A94" s="4">
        <v>92</v>
      </c>
      <c r="B94" s="1" t="s">
        <v>1493</v>
      </c>
      <c r="C94" s="1" t="s">
        <v>1492</v>
      </c>
      <c r="D94" s="5" t="s">
        <v>1491</v>
      </c>
      <c r="E94" s="1" t="s">
        <v>1490</v>
      </c>
      <c r="F94" s="1" t="s">
        <v>1489</v>
      </c>
      <c r="G94" s="10"/>
      <c r="H94" s="10" t="str">
        <f>IF(Q94&lt;100000,"1.마이크로-10만명 미만","2.메가-10만명 이상")</f>
        <v>1.마이크로-10만명 미만</v>
      </c>
      <c r="I94" s="10" t="str">
        <f ca="1">IFERROR(__xludf.DUMMYFUNCTION("iferror(REGEXEXTRACT(E94,""[a-zA-Z0-9._%+-]+@[a-zA-Z0-9.-]+\.[a-zA-Z]{2,}""),""2.이메일 없음"")"),"alicecmusic@outlook.com")</f>
        <v>alicecmusic@outlook.com</v>
      </c>
      <c r="J94" s="10">
        <f>IFERROR((S94+T94+U94)/V94,"")</f>
        <v>1.9657047260560435E-2</v>
      </c>
      <c r="K94" s="9">
        <f>IFERROR(U94/V94,"")</f>
        <v>1.2547051442910915E-3</v>
      </c>
      <c r="L94" s="8">
        <f>IFERROR(MIN(Q94/1000*1.5, 150),"")</f>
        <v>29.700000000000003</v>
      </c>
      <c r="M94" s="7">
        <f>IFERROR(V94/Q94,"")</f>
        <v>0.12075757575757576</v>
      </c>
      <c r="N94" s="6">
        <f>IFERROR((S94+U94)/Q94,"")</f>
        <v>2.3737373737373738E-3</v>
      </c>
      <c r="O94" s="6">
        <f>IFERROR(100/(L94+1),"")</f>
        <v>3.2573289902280127</v>
      </c>
      <c r="P94" s="5" t="s">
        <v>1488</v>
      </c>
      <c r="Q94" s="4">
        <v>19800</v>
      </c>
      <c r="R94" s="4">
        <v>258</v>
      </c>
      <c r="S94" s="4">
        <v>44</v>
      </c>
      <c r="T94" s="4">
        <v>0</v>
      </c>
      <c r="U94" s="4">
        <v>3</v>
      </c>
      <c r="V94" s="4">
        <v>2391</v>
      </c>
      <c r="W94" s="4">
        <v>9</v>
      </c>
      <c r="X94" s="1" t="s">
        <v>23</v>
      </c>
      <c r="Y94" s="1" t="s">
        <v>1487</v>
      </c>
      <c r="Z94" s="3">
        <v>45855.184930555559</v>
      </c>
      <c r="AA94" s="2" t="s">
        <v>1486</v>
      </c>
      <c r="AB94" s="1" t="s">
        <v>1485</v>
      </c>
    </row>
    <row r="95" spans="1:28">
      <c r="A95" s="4">
        <v>93</v>
      </c>
      <c r="B95" s="1" t="s">
        <v>1484</v>
      </c>
      <c r="C95" s="1" t="s">
        <v>1483</v>
      </c>
      <c r="D95" s="5" t="s">
        <v>1482</v>
      </c>
      <c r="E95" s="1" t="s">
        <v>1481</v>
      </c>
      <c r="F95" s="1" t="s">
        <v>1480</v>
      </c>
      <c r="G95" s="10"/>
      <c r="H95" s="10" t="str">
        <f>IF(Q95&lt;100000,"1.마이크로-10만명 미만","2.메가-10만명 이상")</f>
        <v>1.마이크로-10만명 미만</v>
      </c>
      <c r="I95" s="10" t="str">
        <f ca="1">IFERROR(__xludf.DUMMYFUNCTION("iferror(REGEXEXTRACT(E95,""[a-zA-Z0-9._%+-]+@[a-zA-Z0-9.-]+\.[a-zA-Z]{2,}""),""2.이메일 없음"")"),"carlina.erikin@hotmail.com")</f>
        <v>carlina.erikin@hotmail.com</v>
      </c>
      <c r="J95" s="10">
        <f>IFERROR((S95+T95+U95)/V95,"")</f>
        <v>5.5572831423895255E-2</v>
      </c>
      <c r="K95" s="9">
        <f>IFERROR(U95/V95,"")</f>
        <v>2.1276595744680851E-4</v>
      </c>
      <c r="L95" s="8">
        <f>IFERROR(MIN(Q95/1000*1.5, 150),"")</f>
        <v>126.75</v>
      </c>
      <c r="M95" s="7">
        <f>IFERROR(V95/Q95,"")</f>
        <v>2.8923076923076922</v>
      </c>
      <c r="N95" s="6">
        <f>IFERROR((S95+U95)/Q95,"")</f>
        <v>0.15682840236686391</v>
      </c>
      <c r="O95" s="6">
        <f>IFERROR(100/(L95+1),"")</f>
        <v>0.78277886497064575</v>
      </c>
      <c r="P95" s="5" t="s">
        <v>1479</v>
      </c>
      <c r="Q95" s="4">
        <v>84500</v>
      </c>
      <c r="R95" s="4">
        <v>678</v>
      </c>
      <c r="S95" s="4">
        <v>13200</v>
      </c>
      <c r="T95" s="4">
        <v>330</v>
      </c>
      <c r="U95" s="4">
        <v>52</v>
      </c>
      <c r="V95" s="4">
        <v>244400</v>
      </c>
      <c r="W95" s="4">
        <v>10</v>
      </c>
      <c r="X95" s="1" t="s">
        <v>605</v>
      </c>
      <c r="Y95" s="1" t="s">
        <v>604</v>
      </c>
      <c r="Z95" s="3">
        <v>45854.780902777777</v>
      </c>
      <c r="AA95" s="2" t="s">
        <v>1478</v>
      </c>
      <c r="AB95" s="1">
        <v>2242480</v>
      </c>
    </row>
    <row r="96" spans="1:28">
      <c r="A96" s="4">
        <v>94</v>
      </c>
      <c r="B96" s="1" t="s">
        <v>1477</v>
      </c>
      <c r="C96" s="1" t="s">
        <v>1477</v>
      </c>
      <c r="D96" s="5" t="s">
        <v>1476</v>
      </c>
      <c r="E96" s="1" t="s">
        <v>1475</v>
      </c>
      <c r="F96" s="1" t="s">
        <v>1474</v>
      </c>
      <c r="G96" s="10"/>
      <c r="H96" s="10" t="str">
        <f>IF(Q96&lt;100000,"1.마이크로-10만명 미만","2.메가-10만명 이상")</f>
        <v>1.마이크로-10만명 미만</v>
      </c>
      <c r="I96" s="10" t="str">
        <f ca="1">IFERROR(__xludf.DUMMYFUNCTION("iferror(REGEXEXTRACT(E96,""[a-zA-Z0-9._%+-]+@[a-zA-Z0-9.-]+\.[a-zA-Z]{2,}""),""2.이메일 없음"")"),"chlo3alcindor@gmail.com")</f>
        <v>chlo3alcindor@gmail.com</v>
      </c>
      <c r="J96" s="10">
        <f>IFERROR((S96+T96+U96)/V96,"")</f>
        <v>6.9265245144642135E-2</v>
      </c>
      <c r="K96" s="9">
        <f>IFERROR(U96/V96,"")</f>
        <v>6.3832676898003529E-3</v>
      </c>
      <c r="L96" s="8">
        <f>IFERROR(MIN(Q96/1000*1.5, 150),"")</f>
        <v>16.799999999999997</v>
      </c>
      <c r="M96" s="7">
        <f>IFERROR(V96/Q96,"")</f>
        <v>0.65741071428571429</v>
      </c>
      <c r="N96" s="6">
        <f>IFERROR((S96+U96)/Q96,"")</f>
        <v>4.4999999999999998E-2</v>
      </c>
      <c r="O96" s="6">
        <f>IFERROR(100/(L96+1),"")</f>
        <v>5.6179775280898889</v>
      </c>
      <c r="P96" s="5" t="s">
        <v>1473</v>
      </c>
      <c r="Q96" s="4">
        <v>11200</v>
      </c>
      <c r="R96" s="4">
        <v>200</v>
      </c>
      <c r="S96" s="4">
        <v>457</v>
      </c>
      <c r="T96" s="4">
        <v>6</v>
      </c>
      <c r="U96" s="4">
        <v>47</v>
      </c>
      <c r="V96" s="4">
        <v>7363</v>
      </c>
      <c r="W96" s="4">
        <v>65</v>
      </c>
      <c r="X96" s="1" t="s">
        <v>1472</v>
      </c>
      <c r="Y96" s="1" t="s">
        <v>1471</v>
      </c>
      <c r="Z96" s="3">
        <v>45875.161747685182</v>
      </c>
      <c r="AA96" s="2" t="s">
        <v>1470</v>
      </c>
      <c r="AB96" s="1" t="s">
        <v>1469</v>
      </c>
    </row>
    <row r="97" spans="1:28">
      <c r="A97" s="4">
        <v>95</v>
      </c>
      <c r="B97" s="1" t="s">
        <v>1468</v>
      </c>
      <c r="C97" s="1" t="s">
        <v>1467</v>
      </c>
      <c r="D97" s="5" t="s">
        <v>1466</v>
      </c>
      <c r="E97" s="1">
        <v>5</v>
      </c>
      <c r="F97" s="1" t="s">
        <v>1465</v>
      </c>
      <c r="G97" s="10"/>
      <c r="H97" s="10" t="str">
        <f>IF(Q97&lt;100000,"1.마이크로-10만명 미만","2.메가-10만명 이상")</f>
        <v>2.메가-10만명 이상</v>
      </c>
      <c r="I97" s="10" t="str">
        <f ca="1">IFERROR(__xludf.DUMMYFUNCTION("iferror(REGEXEXTRACT(E97,""[a-zA-Z0-9._%+-]+@[a-zA-Z0-9.-]+\.[a-zA-Z]{2,}""),""2.이메일 없음"")"),"2.이메일 없음")</f>
        <v>2.이메일 없음</v>
      </c>
      <c r="J97" s="10">
        <f>IFERROR((S97+T97+U97)/V97,"")</f>
        <v>1.5273522975929979E-2</v>
      </c>
      <c r="K97" s="9">
        <f>IFERROR(U97/V97,"")</f>
        <v>8.7527352297592998E-5</v>
      </c>
      <c r="L97" s="8">
        <f>IFERROR(MIN(Q97/1000*1.5, 150),"")</f>
        <v>150</v>
      </c>
      <c r="M97" s="7">
        <f>IFERROR(V97/Q97,"")</f>
        <v>0.45517928286852588</v>
      </c>
      <c r="N97" s="6">
        <f>IFERROR((S97+U97)/Q97,"")</f>
        <v>6.5537848605577691E-3</v>
      </c>
      <c r="O97" s="6">
        <f>IFERROR(100/(L97+1),"")</f>
        <v>0.66225165562913912</v>
      </c>
      <c r="P97" s="5" t="s">
        <v>1464</v>
      </c>
      <c r="Q97" s="4">
        <v>100400</v>
      </c>
      <c r="R97" s="4">
        <v>372</v>
      </c>
      <c r="S97" s="4">
        <v>654</v>
      </c>
      <c r="T97" s="4">
        <v>40</v>
      </c>
      <c r="U97" s="4">
        <v>4</v>
      </c>
      <c r="V97" s="4">
        <v>45700</v>
      </c>
      <c r="W97" s="4">
        <v>12</v>
      </c>
      <c r="X97" s="1" t="s">
        <v>1316</v>
      </c>
      <c r="Y97" s="1" t="s">
        <v>1315</v>
      </c>
      <c r="Z97" s="3">
        <v>45370.104745370372</v>
      </c>
      <c r="AA97" s="2" t="s">
        <v>1463</v>
      </c>
      <c r="AB97" s="1" t="s">
        <v>1462</v>
      </c>
    </row>
    <row r="98" spans="1:28">
      <c r="A98" s="4">
        <v>96</v>
      </c>
      <c r="B98" s="1" t="s">
        <v>164</v>
      </c>
      <c r="C98" s="1" t="s">
        <v>159</v>
      </c>
      <c r="D98" s="5" t="s">
        <v>163</v>
      </c>
      <c r="E98" s="1" t="s">
        <v>162</v>
      </c>
      <c r="F98" s="1" t="s">
        <v>1461</v>
      </c>
      <c r="G98" s="10"/>
      <c r="H98" s="10" t="str">
        <f>IF(Q98&lt;100000,"1.마이크로-10만명 미만","2.메가-10만명 이상")</f>
        <v>2.메가-10만명 이상</v>
      </c>
      <c r="I98" s="10" t="str">
        <f ca="1">IFERROR(__xludf.DUMMYFUNCTION("iferror(REGEXEXTRACT(E98,""[a-zA-Z0-9._%+-]+@[a-zA-Z0-9.-]+\.[a-zA-Z]{2,}""),""2.이메일 없음"")"),"2.이메일 없음")</f>
        <v>2.이메일 없음</v>
      </c>
      <c r="J98" s="10">
        <f>IFERROR((S98+T98+U98)/V98,"")</f>
        <v>8.2770555555555556E-2</v>
      </c>
      <c r="K98" s="9">
        <f>IFERROR(U98/V98,"")</f>
        <v>7.6111111111111106E-5</v>
      </c>
      <c r="L98" s="8">
        <f>IFERROR(MIN(Q98/1000*1.5, 150),"")</f>
        <v>150</v>
      </c>
      <c r="M98" s="7">
        <f>IFERROR(V98/Q98,"")</f>
        <v>2.4</v>
      </c>
      <c r="N98" s="6">
        <f>IFERROR((S98+U98)/Q98,"")</f>
        <v>0.19111600000000001</v>
      </c>
      <c r="O98" s="6">
        <f>IFERROR(100/(L98+1),"")</f>
        <v>0.66225165562913912</v>
      </c>
      <c r="P98" s="5" t="s">
        <v>1460</v>
      </c>
      <c r="Q98" s="4">
        <v>1500000</v>
      </c>
      <c r="R98" s="4">
        <v>2263</v>
      </c>
      <c r="S98" s="4">
        <v>286400</v>
      </c>
      <c r="T98" s="4">
        <v>11300</v>
      </c>
      <c r="U98" s="4">
        <v>274</v>
      </c>
      <c r="V98" s="4">
        <v>3600000</v>
      </c>
      <c r="W98" s="4">
        <v>6</v>
      </c>
      <c r="X98" s="1" t="s">
        <v>605</v>
      </c>
      <c r="Y98" s="1" t="s">
        <v>604</v>
      </c>
      <c r="Z98" s="3">
        <v>45792.305937500001</v>
      </c>
      <c r="AA98" s="2" t="s">
        <v>1459</v>
      </c>
      <c r="AB98" s="1" t="s">
        <v>157</v>
      </c>
    </row>
    <row r="99" spans="1:28">
      <c r="A99" s="4">
        <v>97</v>
      </c>
      <c r="B99" s="1" t="s">
        <v>1458</v>
      </c>
      <c r="C99" s="1" t="s">
        <v>1453</v>
      </c>
      <c r="D99" s="5" t="s">
        <v>1457</v>
      </c>
      <c r="E99" s="1" t="s">
        <v>1456</v>
      </c>
      <c r="F99" s="1" t="s">
        <v>1455</v>
      </c>
      <c r="G99" s="10"/>
      <c r="H99" s="10" t="str">
        <f>IF(Q99&lt;100000,"1.마이크로-10만명 미만","2.메가-10만명 이상")</f>
        <v>1.마이크로-10만명 미만</v>
      </c>
      <c r="I99" s="10" t="str">
        <f ca="1">IFERROR(__xludf.DUMMYFUNCTION("iferror(REGEXEXTRACT(E99,""[a-zA-Z0-9._%+-]+@[a-zA-Z0-9.-]+\.[a-zA-Z]{2,}""),""2.이메일 없음"")"),"2.이메일 없음")</f>
        <v>2.이메일 없음</v>
      </c>
      <c r="J99" s="10">
        <f>IFERROR((S99+T99+U99)/V99,"")</f>
        <v>1.3692675794231024E-2</v>
      </c>
      <c r="K99" s="9">
        <f>IFERROR(U99/V99,"")</f>
        <v>7.5235943107802741E-4</v>
      </c>
      <c r="L99" s="8">
        <f>IFERROR(MIN(Q99/1000*1.5, 150),"")</f>
        <v>79.349999999999994</v>
      </c>
      <c r="M99" s="7">
        <f>IFERROR(V99/Q99,"")</f>
        <v>14.221172022684311</v>
      </c>
      <c r="N99" s="6">
        <f>IFERROR((S99+U99)/Q99,"")</f>
        <v>0.17274102079395084</v>
      </c>
      <c r="O99" s="6">
        <f>IFERROR(100/(L99+1),"")</f>
        <v>1.2445550715619167</v>
      </c>
      <c r="P99" s="5" t="s">
        <v>1454</v>
      </c>
      <c r="Q99" s="4">
        <v>52900</v>
      </c>
      <c r="R99" s="4">
        <v>83</v>
      </c>
      <c r="S99" s="4">
        <v>8572</v>
      </c>
      <c r="T99" s="4">
        <v>1163</v>
      </c>
      <c r="U99" s="4">
        <v>566</v>
      </c>
      <c r="V99" s="4">
        <v>752300</v>
      </c>
      <c r="W99" s="4">
        <v>31</v>
      </c>
      <c r="X99" s="1" t="s">
        <v>23</v>
      </c>
      <c r="Y99" s="1" t="s">
        <v>1453</v>
      </c>
      <c r="Z99" s="3">
        <v>45733.184988425928</v>
      </c>
      <c r="AA99" s="2" t="s">
        <v>1452</v>
      </c>
      <c r="AB99" s="1" t="s">
        <v>1451</v>
      </c>
    </row>
    <row r="100" spans="1:28">
      <c r="A100" s="4">
        <v>98</v>
      </c>
      <c r="B100" s="1" t="s">
        <v>1450</v>
      </c>
      <c r="C100" s="1" t="s">
        <v>1445</v>
      </c>
      <c r="D100" s="5" t="s">
        <v>1449</v>
      </c>
      <c r="E100" s="1" t="s">
        <v>1448</v>
      </c>
      <c r="F100" s="1" t="s">
        <v>1447</v>
      </c>
      <c r="G100" s="10"/>
      <c r="H100" s="10" t="str">
        <f>IF(Q100&lt;100000,"1.마이크로-10만명 미만","2.메가-10만명 이상")</f>
        <v>1.마이크로-10만명 미만</v>
      </c>
      <c r="I100" s="10" t="str">
        <f ca="1">IFERROR(__xludf.DUMMYFUNCTION("iferror(REGEXEXTRACT(E100,""[a-zA-Z0-9._%+-]+@[a-zA-Z0-9.-]+\.[a-zA-Z]{2,}""),""2.이메일 없음"")"),"bellaella619@gmail.com")</f>
        <v>bellaella619@gmail.com</v>
      </c>
      <c r="J100" s="10">
        <f>IFERROR((S100+T100+U100)/V100,"")</f>
        <v>0.11577176470588235</v>
      </c>
      <c r="K100" s="9">
        <f>IFERROR(U100/V100,"")</f>
        <v>2.4647058823529412E-4</v>
      </c>
      <c r="L100" s="8">
        <f>IFERROR(MIN(Q100/1000*1.5, 150),"")</f>
        <v>9.4845000000000006</v>
      </c>
      <c r="M100" s="7">
        <f>IFERROR(V100/Q100,"")</f>
        <v>268.85971848805946</v>
      </c>
      <c r="N100" s="6">
        <f>IFERROR((S100+U100)/Q100,"")</f>
        <v>30.6371975328167</v>
      </c>
      <c r="O100" s="6">
        <f>IFERROR(100/(L100+1),"")</f>
        <v>9.5378892651056315</v>
      </c>
      <c r="P100" s="5" t="s">
        <v>1446</v>
      </c>
      <c r="Q100" s="4">
        <v>6323</v>
      </c>
      <c r="R100" s="4">
        <v>208</v>
      </c>
      <c r="S100" s="4">
        <v>193300</v>
      </c>
      <c r="T100" s="4">
        <v>3093</v>
      </c>
      <c r="U100" s="4">
        <v>419</v>
      </c>
      <c r="V100" s="4">
        <v>1700000</v>
      </c>
      <c r="W100" s="4">
        <v>157</v>
      </c>
      <c r="X100" s="1" t="s">
        <v>23</v>
      </c>
      <c r="Y100" s="1" t="s">
        <v>1445</v>
      </c>
      <c r="Z100" s="3">
        <v>44980.208761574075</v>
      </c>
      <c r="AA100" s="2" t="s">
        <v>1444</v>
      </c>
      <c r="AB100" s="1" t="s">
        <v>1443</v>
      </c>
    </row>
    <row r="101" spans="1:28">
      <c r="A101" s="4">
        <v>99</v>
      </c>
      <c r="B101" s="1" t="s">
        <v>1442</v>
      </c>
      <c r="C101" s="1" t="s">
        <v>1437</v>
      </c>
      <c r="D101" s="5" t="s">
        <v>1441</v>
      </c>
      <c r="E101" s="1" t="s">
        <v>1440</v>
      </c>
      <c r="F101" s="1" t="s">
        <v>1439</v>
      </c>
      <c r="G101" s="10"/>
      <c r="H101" s="10" t="str">
        <f>IF(Q101&lt;100000,"1.마이크로-10만명 미만","2.메가-10만명 이상")</f>
        <v>2.메가-10만명 이상</v>
      </c>
      <c r="I101" s="10" t="str">
        <f ca="1">IFERROR(__xludf.DUMMYFUNCTION("iferror(REGEXEXTRACT(E101,""[a-zA-Z0-9._%+-]+@[a-zA-Z0-9.-]+\.[a-zA-Z]{2,}""),""2.이메일 없음"")"),"allisonwong333@gmail.com")</f>
        <v>allisonwong333@gmail.com</v>
      </c>
      <c r="J101" s="10">
        <f>IFERROR((S101+T101+U101)/V101,"")</f>
        <v>0.10845413726747916</v>
      </c>
      <c r="K101" s="9">
        <f>IFERROR(U101/V101,"")</f>
        <v>4.4259140474663247E-4</v>
      </c>
      <c r="L101" s="8">
        <f>IFERROR(MIN(Q101/1000*1.5, 150),"")</f>
        <v>150</v>
      </c>
      <c r="M101" s="7">
        <f>IFERROR(V101/Q101,"")</f>
        <v>0.27869145513049698</v>
      </c>
      <c r="N101" s="6">
        <f>IFERROR((S101+U101)/Q101,"")</f>
        <v>2.9797997854844476E-2</v>
      </c>
      <c r="O101" s="6">
        <f>IFERROR(100/(L101+1),"")</f>
        <v>0.66225165562913912</v>
      </c>
      <c r="P101" s="5" t="s">
        <v>1438</v>
      </c>
      <c r="Q101" s="4">
        <v>559400</v>
      </c>
      <c r="R101" s="4">
        <v>1475</v>
      </c>
      <c r="S101" s="4">
        <v>16600</v>
      </c>
      <c r="T101" s="4">
        <v>239</v>
      </c>
      <c r="U101" s="4">
        <v>69</v>
      </c>
      <c r="V101" s="4">
        <v>155900</v>
      </c>
      <c r="W101" s="4">
        <v>64</v>
      </c>
      <c r="X101" s="1" t="s">
        <v>23</v>
      </c>
      <c r="Y101" s="1" t="s">
        <v>1437</v>
      </c>
      <c r="Z101" s="3">
        <v>45906.411944444444</v>
      </c>
      <c r="AA101" s="2" t="s">
        <v>1436</v>
      </c>
      <c r="AB101" s="1" t="s">
        <v>1435</v>
      </c>
    </row>
    <row r="102" spans="1:28">
      <c r="A102" s="4">
        <v>100</v>
      </c>
      <c r="B102" s="1" t="s">
        <v>1434</v>
      </c>
      <c r="C102" s="1" t="s">
        <v>1433</v>
      </c>
      <c r="D102" s="5" t="s">
        <v>1432</v>
      </c>
      <c r="E102" s="1" t="s">
        <v>1431</v>
      </c>
      <c r="F102" s="1" t="s">
        <v>1430</v>
      </c>
      <c r="G102" s="10"/>
      <c r="H102" s="10" t="str">
        <f>IF(Q102&lt;100000,"1.마이크로-10만명 미만","2.메가-10만명 이상")</f>
        <v>2.메가-10만명 이상</v>
      </c>
      <c r="I102" s="10" t="str">
        <f ca="1">IFERROR(__xludf.DUMMYFUNCTION("iferror(REGEXEXTRACT(E102,""[a-zA-Z0-9._%+-]+@[a-zA-Z0-9.-]+\.[a-zA-Z]{2,}""),""2.이메일 없음"")"),"elliesuh@mar-agency.co")</f>
        <v>elliesuh@mar-agency.co</v>
      </c>
      <c r="J102" s="10">
        <f>IFERROR((S102+T102+U102)/V102,"")</f>
        <v>3.2743150684931506E-2</v>
      </c>
      <c r="K102" s="9">
        <f>IFERROR(U102/V102,"")</f>
        <v>2.773972602739726E-4</v>
      </c>
      <c r="L102" s="8">
        <f>IFERROR(MIN(Q102/1000*1.5, 150),"")</f>
        <v>150</v>
      </c>
      <c r="M102" s="7">
        <f>IFERROR(V102/Q102,"")</f>
        <v>1.2473302007689022</v>
      </c>
      <c r="N102" s="6">
        <f>IFERROR((S102+U102)/Q102,"")</f>
        <v>3.9974369927381459E-2</v>
      </c>
      <c r="O102" s="6">
        <f>IFERROR(100/(L102+1),"")</f>
        <v>0.66225165562913912</v>
      </c>
      <c r="P102" s="5" t="s">
        <v>1429</v>
      </c>
      <c r="Q102" s="4">
        <v>234100</v>
      </c>
      <c r="R102" s="4">
        <v>859</v>
      </c>
      <c r="S102" s="4">
        <v>9277</v>
      </c>
      <c r="T102" s="4">
        <v>203</v>
      </c>
      <c r="U102" s="4">
        <v>81</v>
      </c>
      <c r="V102" s="4">
        <v>292000</v>
      </c>
      <c r="W102" s="4">
        <v>9</v>
      </c>
      <c r="X102" s="1" t="s">
        <v>23</v>
      </c>
      <c r="Y102" s="1" t="s">
        <v>1428</v>
      </c>
      <c r="Z102" s="3">
        <v>45729.544039351851</v>
      </c>
      <c r="AA102" s="2" t="s">
        <v>1427</v>
      </c>
      <c r="AB102" s="1" t="s">
        <v>1426</v>
      </c>
    </row>
    <row r="103" spans="1:28">
      <c r="A103" s="4">
        <v>101</v>
      </c>
      <c r="B103" s="1" t="s">
        <v>1425</v>
      </c>
      <c r="C103" s="1" t="s">
        <v>1420</v>
      </c>
      <c r="D103" s="5" t="s">
        <v>1424</v>
      </c>
      <c r="E103" s="1" t="s">
        <v>1423</v>
      </c>
      <c r="F103" s="1" t="s">
        <v>1422</v>
      </c>
      <c r="G103" s="10"/>
      <c r="H103" s="10" t="str">
        <f>IF(Q103&lt;100000,"1.마이크로-10만명 미만","2.메가-10만명 이상")</f>
        <v>2.메가-10만명 이상</v>
      </c>
      <c r="I103" s="10" t="str">
        <f ca="1">IFERROR(__xludf.DUMMYFUNCTION("iferror(REGEXEXTRACT(E103,""[a-zA-Z0-9._%+-]+@[a-zA-Z0-9.-]+\.[a-zA-Z]{2,}""),""2.이메일 없음"")"),"megan.homme@teamwass.com")</f>
        <v>megan.homme@teamwass.com</v>
      </c>
      <c r="J103" s="10">
        <f>IFERROR((S103+T103+U103)/V103,"")</f>
        <v>3.200611111111111E-2</v>
      </c>
      <c r="K103" s="9">
        <f>IFERROR(U103/V103,"")</f>
        <v>1.1555555555555555E-4</v>
      </c>
      <c r="L103" s="8">
        <f>IFERROR(MIN(Q103/1000*1.5, 150),"")</f>
        <v>150</v>
      </c>
      <c r="M103" s="7">
        <f>IFERROR(V103/Q103,"")</f>
        <v>4.0558810274898605</v>
      </c>
      <c r="N103" s="6">
        <f>IFERROR((S103+U103)/Q103,"")</f>
        <v>0.12552501126633619</v>
      </c>
      <c r="O103" s="6">
        <f>IFERROR(100/(L103+1),"")</f>
        <v>0.66225165562913912</v>
      </c>
      <c r="P103" s="5" t="s">
        <v>1421</v>
      </c>
      <c r="Q103" s="4">
        <v>443800</v>
      </c>
      <c r="R103" s="4">
        <v>498</v>
      </c>
      <c r="S103" s="4">
        <v>55500</v>
      </c>
      <c r="T103" s="4">
        <v>1903</v>
      </c>
      <c r="U103" s="4">
        <v>208</v>
      </c>
      <c r="V103" s="4">
        <v>1800000</v>
      </c>
      <c r="W103" s="4">
        <v>20</v>
      </c>
      <c r="X103" s="1" t="s">
        <v>23</v>
      </c>
      <c r="Y103" s="1" t="s">
        <v>1420</v>
      </c>
      <c r="Z103" s="3">
        <v>45401.049456018518</v>
      </c>
      <c r="AA103" s="2" t="s">
        <v>1419</v>
      </c>
      <c r="AB103" s="1" t="s">
        <v>1418</v>
      </c>
    </row>
    <row r="104" spans="1:28">
      <c r="A104" s="4">
        <v>102</v>
      </c>
      <c r="B104" s="1" t="s">
        <v>1417</v>
      </c>
      <c r="C104" s="1" t="s">
        <v>1417</v>
      </c>
      <c r="D104" s="5" t="s">
        <v>1416</v>
      </c>
      <c r="E104" s="1" t="s">
        <v>1415</v>
      </c>
      <c r="F104" s="1" t="s">
        <v>1414</v>
      </c>
      <c r="G104" s="10"/>
      <c r="H104" s="10" t="str">
        <f>IF(Q104&lt;100000,"1.마이크로-10만명 미만","2.메가-10만명 이상")</f>
        <v>1.마이크로-10만명 미만</v>
      </c>
      <c r="I104" s="10" t="str">
        <f ca="1">IFERROR(__xludf.DUMMYFUNCTION("iferror(REGEXEXTRACT(E104,""[a-zA-Z0-9._%+-]+@[a-zA-Z0-9.-]+\.[a-zA-Z]{2,}""),""2.이메일 없음"")"),"2.이메일 없음")</f>
        <v>2.이메일 없음</v>
      </c>
      <c r="J104" s="10">
        <f>IFERROR((S104+T104+U104)/V104,"")</f>
        <v>9.3537414965986401E-2</v>
      </c>
      <c r="K104" s="9">
        <f>IFERROR(U104/V104,"")</f>
        <v>1.020408163265306E-2</v>
      </c>
      <c r="L104" s="8">
        <f>IFERROR(MIN(Q104/1000*1.5, 150),"")</f>
        <v>6.3944999999999999</v>
      </c>
      <c r="M104" s="7">
        <f>IFERROR(V104/Q104,"")</f>
        <v>0.13793103448275862</v>
      </c>
      <c r="N104" s="6">
        <f>IFERROR((S104+U104)/Q104,"")</f>
        <v>1.2432559230588787E-2</v>
      </c>
      <c r="O104" s="6">
        <f>IFERROR(100/(L104+1),"")</f>
        <v>13.523564811684361</v>
      </c>
      <c r="P104" s="5" t="s">
        <v>1413</v>
      </c>
      <c r="Q104" s="4">
        <v>4263</v>
      </c>
      <c r="R104" s="4">
        <v>259</v>
      </c>
      <c r="S104" s="4">
        <v>47</v>
      </c>
      <c r="T104" s="4">
        <v>2</v>
      </c>
      <c r="U104" s="4">
        <v>6</v>
      </c>
      <c r="V104" s="4">
        <v>588</v>
      </c>
      <c r="W104" s="4">
        <v>16</v>
      </c>
      <c r="X104" s="1" t="s">
        <v>1412</v>
      </c>
      <c r="Y104" s="1" t="s">
        <v>1325</v>
      </c>
      <c r="Z104" s="3">
        <v>45909.136446759258</v>
      </c>
      <c r="AA104" s="2" t="s">
        <v>1411</v>
      </c>
      <c r="AB104" s="1" t="s">
        <v>1410</v>
      </c>
    </row>
    <row r="105" spans="1:28">
      <c r="A105" s="4">
        <v>103</v>
      </c>
      <c r="B105" s="1" t="s">
        <v>1409</v>
      </c>
      <c r="C105" s="1" t="s">
        <v>1404</v>
      </c>
      <c r="D105" s="5" t="s">
        <v>1408</v>
      </c>
      <c r="E105" s="1" t="s">
        <v>1407</v>
      </c>
      <c r="F105" s="1" t="s">
        <v>1406</v>
      </c>
      <c r="G105" s="10"/>
      <c r="H105" s="10" t="str">
        <f>IF(Q105&lt;100000,"1.마이크로-10만명 미만","2.메가-10만명 이상")</f>
        <v>2.메가-10만명 이상</v>
      </c>
      <c r="I105" s="10" t="str">
        <f ca="1">IFERROR(__xludf.DUMMYFUNCTION("iferror(REGEXEXTRACT(E105,""[a-zA-Z0-9._%+-]+@[a-zA-Z0-9.-]+\.[a-zA-Z]{2,}""),""2.이메일 없음"")"),"nellie@fromatoztalent.com")</f>
        <v>nellie@fromatoztalent.com</v>
      </c>
      <c r="J105" s="10">
        <f>IFERROR((S105+T105+U105)/V105,"")</f>
        <v>9.0293040293040291E-2</v>
      </c>
      <c r="K105" s="9">
        <f>IFERROR(U105/V105,"")</f>
        <v>1.2087912087912088E-3</v>
      </c>
      <c r="L105" s="8">
        <f>IFERROR(MIN(Q105/1000*1.5, 150),"")</f>
        <v>150</v>
      </c>
      <c r="M105" s="7">
        <f>IFERROR(V105/Q105,"")</f>
        <v>0.22413793103448276</v>
      </c>
      <c r="N105" s="6">
        <f>IFERROR((S105+U105)/Q105,"")</f>
        <v>1.9310344827586208E-2</v>
      </c>
      <c r="O105" s="6">
        <f>IFERROR(100/(L105+1),"")</f>
        <v>0.66225165562913912</v>
      </c>
      <c r="P105" s="5" t="s">
        <v>1405</v>
      </c>
      <c r="Q105" s="4">
        <v>121800</v>
      </c>
      <c r="R105" s="4">
        <v>1641</v>
      </c>
      <c r="S105" s="4">
        <v>2319</v>
      </c>
      <c r="T105" s="4">
        <v>113</v>
      </c>
      <c r="U105" s="4">
        <v>33</v>
      </c>
      <c r="V105" s="4">
        <v>27300</v>
      </c>
      <c r="W105" s="4">
        <v>15</v>
      </c>
      <c r="X105" s="1" t="s">
        <v>23</v>
      </c>
      <c r="Y105" s="1" t="s">
        <v>1404</v>
      </c>
      <c r="Z105" s="3">
        <v>45904.894456018519</v>
      </c>
      <c r="AA105" s="2" t="s">
        <v>1403</v>
      </c>
      <c r="AB105" s="1" t="s">
        <v>1402</v>
      </c>
    </row>
    <row r="106" spans="1:28">
      <c r="A106" s="4">
        <v>104</v>
      </c>
      <c r="B106" s="1" t="s">
        <v>1401</v>
      </c>
      <c r="C106" s="1" t="s">
        <v>1400</v>
      </c>
      <c r="D106" s="5" t="s">
        <v>1399</v>
      </c>
      <c r="E106" s="1" t="s">
        <v>1398</v>
      </c>
      <c r="F106" s="1" t="s">
        <v>1397</v>
      </c>
      <c r="G106" s="10"/>
      <c r="H106" s="10" t="str">
        <f>IF(Q106&lt;100000,"1.마이크로-10만명 미만","2.메가-10만명 이상")</f>
        <v>1.마이크로-10만명 미만</v>
      </c>
      <c r="I106" s="10" t="str">
        <f ca="1">IFERROR(__xludf.DUMMYFUNCTION("iferror(REGEXEXTRACT(E106,""[a-zA-Z0-9._%+-]+@[a-zA-Z0-9.-]+\.[a-zA-Z]{2,}""),""2.이메일 없음"")"),"katisha0121@gmail.com")</f>
        <v>katisha0121@gmail.com</v>
      </c>
      <c r="J106" s="10">
        <f>IFERROR((S106+T106+U106)/V106,"")</f>
        <v>0.1477262762292515</v>
      </c>
      <c r="K106" s="9">
        <f>IFERROR(U106/V106,"")</f>
        <v>5.2301910429063581E-4</v>
      </c>
      <c r="L106" s="8">
        <f>IFERROR(MIN(Q106/1000*1.5, 150),"")</f>
        <v>21.6</v>
      </c>
      <c r="M106" s="7">
        <f>IFERROR(V106/Q106,"")</f>
        <v>22.173611111111111</v>
      </c>
      <c r="N106" s="6">
        <f>IFERROR((S106+U106)/Q106,"")</f>
        <v>3.1921527777777778</v>
      </c>
      <c r="O106" s="6">
        <f>IFERROR(100/(L106+1),"")</f>
        <v>4.4247787610619467</v>
      </c>
      <c r="P106" s="5" t="s">
        <v>1396</v>
      </c>
      <c r="Q106" s="4">
        <v>14400</v>
      </c>
      <c r="R106" s="4">
        <v>49</v>
      </c>
      <c r="S106" s="4">
        <v>45800</v>
      </c>
      <c r="T106" s="4">
        <v>1202</v>
      </c>
      <c r="U106" s="4">
        <v>167</v>
      </c>
      <c r="V106" s="4">
        <v>319300</v>
      </c>
      <c r="W106" s="4">
        <v>5</v>
      </c>
      <c r="X106" s="1" t="s">
        <v>23</v>
      </c>
      <c r="Y106" s="1" t="s">
        <v>1395</v>
      </c>
      <c r="Z106" s="3">
        <v>45811.060694444444</v>
      </c>
      <c r="AA106" s="2" t="s">
        <v>1394</v>
      </c>
      <c r="AB106" s="1" t="s">
        <v>1393</v>
      </c>
    </row>
    <row r="107" spans="1:28">
      <c r="A107" s="4">
        <v>105</v>
      </c>
      <c r="B107" s="1" t="s">
        <v>1392</v>
      </c>
      <c r="C107" s="1" t="s">
        <v>1387</v>
      </c>
      <c r="D107" s="5" t="s">
        <v>1391</v>
      </c>
      <c r="E107" s="1" t="s">
        <v>1390</v>
      </c>
      <c r="F107" s="1" t="s">
        <v>1389</v>
      </c>
      <c r="G107" s="10"/>
      <c r="H107" s="10" t="str">
        <f>IF(Q107&lt;100000,"1.마이크로-10만명 미만","2.메가-10만명 이상")</f>
        <v>2.메가-10만명 이상</v>
      </c>
      <c r="I107" s="10" t="str">
        <f ca="1">IFERROR(__xludf.DUMMYFUNCTION("iferror(REGEXEXTRACT(E107,""[a-zA-Z0-9._%+-]+@[a-zA-Z0-9.-]+\.[a-zA-Z]{2,}""),""2.이메일 없음"")"),"2.이메일 없음")</f>
        <v>2.이메일 없음</v>
      </c>
      <c r="J107" s="10">
        <f>IFERROR((S107+T107+U107)/V107,"")</f>
        <v>0.11333421052631579</v>
      </c>
      <c r="K107" s="9">
        <f>IFERROR(U107/V107,"")</f>
        <v>1.5421052631578948E-4</v>
      </c>
      <c r="L107" s="8">
        <f>IFERROR(MIN(Q107/1000*1.5, 150),"")</f>
        <v>150</v>
      </c>
      <c r="M107" s="7">
        <f>IFERROR(V107/Q107,"")</f>
        <v>0.79166666666666663</v>
      </c>
      <c r="N107" s="6">
        <f>IFERROR((S107+U107)/Q107,"")</f>
        <v>8.9497083333333338E-2</v>
      </c>
      <c r="O107" s="6">
        <f>IFERROR(100/(L107+1),"")</f>
        <v>0.66225165562913912</v>
      </c>
      <c r="P107" s="5" t="s">
        <v>1388</v>
      </c>
      <c r="Q107" s="4">
        <v>2400000</v>
      </c>
      <c r="R107" s="4">
        <v>161</v>
      </c>
      <c r="S107" s="4">
        <v>214500</v>
      </c>
      <c r="T107" s="4">
        <v>542</v>
      </c>
      <c r="U107" s="4">
        <v>293</v>
      </c>
      <c r="V107" s="4">
        <v>1900000</v>
      </c>
      <c r="W107" s="4">
        <v>34</v>
      </c>
      <c r="X107" s="1" t="s">
        <v>23</v>
      </c>
      <c r="Y107" s="1" t="s">
        <v>1387</v>
      </c>
      <c r="Z107" s="3">
        <v>45381.193472222221</v>
      </c>
      <c r="AA107" s="2" t="s">
        <v>1386</v>
      </c>
      <c r="AB107" s="1">
        <v>5952506</v>
      </c>
    </row>
    <row r="108" spans="1:28">
      <c r="A108" s="4">
        <v>106</v>
      </c>
      <c r="B108" s="1" t="s">
        <v>1385</v>
      </c>
      <c r="C108" s="1" t="s">
        <v>1380</v>
      </c>
      <c r="D108" s="5" t="s">
        <v>1384</v>
      </c>
      <c r="E108" s="1" t="s">
        <v>1383</v>
      </c>
      <c r="F108" s="1" t="s">
        <v>1382</v>
      </c>
      <c r="G108" s="10"/>
      <c r="H108" s="10" t="str">
        <f>IF(Q108&lt;100000,"1.마이크로-10만명 미만","2.메가-10만명 이상")</f>
        <v>1.마이크로-10만명 미만</v>
      </c>
      <c r="I108" s="10" t="str">
        <f ca="1">IFERROR(__xludf.DUMMYFUNCTION("iferror(REGEXEXTRACT(E108,""[a-zA-Z0-9._%+-]+@[a-zA-Z0-9.-]+\.[a-zA-Z]{2,}""),""2.이메일 없음"")"),"2.이메일 없음")</f>
        <v>2.이메일 없음</v>
      </c>
      <c r="J108" s="10">
        <f>IFERROR((S108+T108+U108)/V108,"")</f>
        <v>5.798850574712644E-2</v>
      </c>
      <c r="K108" s="9">
        <f>IFERROR(U108/V108,"")</f>
        <v>8.6206896551724137E-4</v>
      </c>
      <c r="L108" s="8">
        <f>IFERROR(MIN(Q108/1000*1.5, 150),"")</f>
        <v>91.050000000000011</v>
      </c>
      <c r="M108" s="7">
        <f>IFERROR(V108/Q108,"")</f>
        <v>0.28665568369028005</v>
      </c>
      <c r="N108" s="6">
        <f>IFERROR((S108+U108)/Q108,"")</f>
        <v>1.6128500823723229E-2</v>
      </c>
      <c r="O108" s="6">
        <f>IFERROR(100/(L108+1),"")</f>
        <v>1.086366105377512</v>
      </c>
      <c r="P108" s="5" t="s">
        <v>1381</v>
      </c>
      <c r="Q108" s="4">
        <v>60700</v>
      </c>
      <c r="R108" s="4">
        <v>532</v>
      </c>
      <c r="S108" s="4">
        <v>964</v>
      </c>
      <c r="T108" s="4">
        <v>30</v>
      </c>
      <c r="U108" s="4">
        <v>15</v>
      </c>
      <c r="V108" s="4">
        <v>17400</v>
      </c>
      <c r="W108" s="4">
        <v>62</v>
      </c>
      <c r="X108" s="1" t="s">
        <v>23</v>
      </c>
      <c r="Y108" s="1" t="s">
        <v>1380</v>
      </c>
      <c r="Z108" s="3">
        <v>45864.253692129627</v>
      </c>
      <c r="AA108" s="2" t="s">
        <v>1379</v>
      </c>
      <c r="AB108" s="1" t="s">
        <v>1378</v>
      </c>
    </row>
    <row r="109" spans="1:28">
      <c r="A109" s="4">
        <v>107</v>
      </c>
      <c r="B109" s="1" t="s">
        <v>1377</v>
      </c>
      <c r="C109" s="1" t="s">
        <v>1376</v>
      </c>
      <c r="D109" s="5" t="s">
        <v>1375</v>
      </c>
      <c r="E109" s="1" t="s">
        <v>1374</v>
      </c>
      <c r="F109" s="1" t="s">
        <v>1373</v>
      </c>
      <c r="G109" s="10"/>
      <c r="H109" s="10" t="str">
        <f>IF(Q109&lt;100000,"1.마이크로-10만명 미만","2.메가-10만명 이상")</f>
        <v>1.마이크로-10만명 미만</v>
      </c>
      <c r="I109" s="10" t="str">
        <f ca="1">IFERROR(__xludf.DUMMYFUNCTION("iferror(REGEXEXTRACT(E109,""[a-zA-Z0-9._%+-]+@[a-zA-Z0-9.-]+\.[a-zA-Z]{2,}""),""2.이메일 없음"")"),"2.이메일 없음")</f>
        <v>2.이메일 없음</v>
      </c>
      <c r="J109" s="10">
        <f>IFERROR((S109+T109+U109)/V109,"")</f>
        <v>2.9277528649725958E-2</v>
      </c>
      <c r="K109" s="9">
        <f>IFERROR(U109/V109,"")</f>
        <v>9.4170403587443951E-4</v>
      </c>
      <c r="L109" s="8">
        <f>IFERROR(MIN(Q109/1000*1.5, 150),"")</f>
        <v>123</v>
      </c>
      <c r="M109" s="7">
        <f>IFERROR(V109/Q109,"")</f>
        <v>2.4475609756097563</v>
      </c>
      <c r="N109" s="6">
        <f>IFERROR((S109+U109)/Q109,"")</f>
        <v>6.7646341463414639E-2</v>
      </c>
      <c r="O109" s="6">
        <f>IFERROR(100/(L109+1),"")</f>
        <v>0.80645161290322576</v>
      </c>
      <c r="P109" s="5" t="s">
        <v>1372</v>
      </c>
      <c r="Q109" s="4">
        <v>82000</v>
      </c>
      <c r="R109" s="4">
        <v>211</v>
      </c>
      <c r="S109" s="4">
        <v>5358</v>
      </c>
      <c r="T109" s="4">
        <v>329</v>
      </c>
      <c r="U109" s="4">
        <v>189</v>
      </c>
      <c r="V109" s="4">
        <v>200700</v>
      </c>
      <c r="W109" s="4">
        <v>14</v>
      </c>
      <c r="X109" s="1" t="s">
        <v>23</v>
      </c>
      <c r="Y109" s="1" t="s">
        <v>1371</v>
      </c>
      <c r="Z109" s="3">
        <v>45885.186423611114</v>
      </c>
      <c r="AA109" s="2" t="s">
        <v>1370</v>
      </c>
      <c r="AB109" s="1" t="s">
        <v>1369</v>
      </c>
    </row>
    <row r="110" spans="1:28">
      <c r="A110" s="4">
        <v>108</v>
      </c>
      <c r="B110" s="1" t="s">
        <v>1368</v>
      </c>
      <c r="C110" s="1" t="s">
        <v>1367</v>
      </c>
      <c r="D110" s="5" t="s">
        <v>1366</v>
      </c>
      <c r="E110" s="1" t="s">
        <v>1365</v>
      </c>
      <c r="F110" s="1" t="s">
        <v>1364</v>
      </c>
      <c r="G110" s="10"/>
      <c r="H110" s="10" t="str">
        <f>IF(Q110&lt;100000,"1.마이크로-10만명 미만","2.메가-10만명 이상")</f>
        <v>1.마이크로-10만명 미만</v>
      </c>
      <c r="I110" s="10" t="str">
        <f ca="1">IFERROR(__xludf.DUMMYFUNCTION("iferror(REGEXEXTRACT(E110,""[a-zA-Z0-9._%+-]+@[a-zA-Z0-9.-]+\.[a-zA-Z]{2,}""),""2.이메일 없음"")"),"katecobyrne@gmail.com")</f>
        <v>katecobyrne@gmail.com</v>
      </c>
      <c r="J110" s="10">
        <f>IFERROR((S110+T110+U110)/V110,"")</f>
        <v>1.7318779736915757E-2</v>
      </c>
      <c r="K110" s="9">
        <f>IFERROR(U110/V110,"")</f>
        <v>5.3176602294990202E-5</v>
      </c>
      <c r="L110" s="8">
        <f>IFERROR(MIN(Q110/1000*1.5, 150),"")</f>
        <v>87.6</v>
      </c>
      <c r="M110" s="7">
        <f>IFERROR(V110/Q110,"")</f>
        <v>6.118150684931507</v>
      </c>
      <c r="N110" s="6">
        <f>IFERROR((S110+U110)/Q110,"")</f>
        <v>0.10407534246575342</v>
      </c>
      <c r="O110" s="6">
        <f>IFERROR(100/(L110+1),"")</f>
        <v>1.1286681715575622</v>
      </c>
      <c r="P110" s="5" t="s">
        <v>1363</v>
      </c>
      <c r="Q110" s="4">
        <v>58400</v>
      </c>
      <c r="R110" s="4">
        <v>1108</v>
      </c>
      <c r="S110" s="4">
        <v>6059</v>
      </c>
      <c r="T110" s="4">
        <v>110</v>
      </c>
      <c r="U110" s="4">
        <v>19</v>
      </c>
      <c r="V110" s="4">
        <v>357300</v>
      </c>
      <c r="W110" s="4">
        <v>9</v>
      </c>
      <c r="X110" s="1" t="s">
        <v>1362</v>
      </c>
      <c r="Y110" s="1" t="s">
        <v>1361</v>
      </c>
      <c r="Z110" s="3">
        <v>45819.109097222223</v>
      </c>
      <c r="AA110" s="2" t="s">
        <v>1360</v>
      </c>
      <c r="AB110" s="1" t="s">
        <v>1359</v>
      </c>
    </row>
    <row r="111" spans="1:28">
      <c r="A111" s="4">
        <v>109</v>
      </c>
      <c r="B111" s="1" t="s">
        <v>1358</v>
      </c>
      <c r="C111" s="1" t="s">
        <v>1357</v>
      </c>
      <c r="D111" s="5" t="s">
        <v>1356</v>
      </c>
      <c r="E111" s="1" t="s">
        <v>1355</v>
      </c>
      <c r="F111" s="1" t="s">
        <v>1354</v>
      </c>
      <c r="G111" s="10"/>
      <c r="H111" s="10" t="str">
        <f>IF(Q111&lt;100000,"1.마이크로-10만명 미만","2.메가-10만명 이상")</f>
        <v>1.마이크로-10만명 미만</v>
      </c>
      <c r="I111" s="10" t="str">
        <f ca="1">IFERROR(__xludf.DUMMYFUNCTION("iferror(REGEXEXTRACT(E111,""[a-zA-Z0-9._%+-]+@[a-zA-Z0-9.-]+\.[a-zA-Z]{2,}""),""2.이메일 없음"")"),"Nohelyjolvera@gmail.com")</f>
        <v>Nohelyjolvera@gmail.com</v>
      </c>
      <c r="J111" s="10">
        <f>IFERROR((S111+T111+U111)/V111,"")</f>
        <v>3.0454545454545453E-2</v>
      </c>
      <c r="K111" s="9">
        <f>IFERROR(U111/V111,"")</f>
        <v>4.0082644628099172E-3</v>
      </c>
      <c r="L111" s="8">
        <f>IFERROR(MIN(Q111/1000*1.5, 150),"")</f>
        <v>9.5235000000000003</v>
      </c>
      <c r="M111" s="7">
        <f>IFERROR(V111/Q111,"")</f>
        <v>3.8116238777760278</v>
      </c>
      <c r="N111" s="6">
        <f>IFERROR((S111+U111)/Q111,"")</f>
        <v>0.1145062214521972</v>
      </c>
      <c r="O111" s="6">
        <f>IFERROR(100/(L111+1),"")</f>
        <v>9.5025419299662666</v>
      </c>
      <c r="P111" s="5" t="s">
        <v>1353</v>
      </c>
      <c r="Q111" s="4">
        <v>6349</v>
      </c>
      <c r="R111" s="4">
        <v>72</v>
      </c>
      <c r="S111" s="4">
        <v>630</v>
      </c>
      <c r="T111" s="4">
        <v>10</v>
      </c>
      <c r="U111" s="4">
        <v>97</v>
      </c>
      <c r="V111" s="4">
        <v>24200</v>
      </c>
      <c r="W111" s="4">
        <v>9</v>
      </c>
      <c r="X111" s="1" t="s">
        <v>23</v>
      </c>
      <c r="Y111" s="1" t="s">
        <v>1352</v>
      </c>
      <c r="Z111" s="3">
        <v>45454.437013888892</v>
      </c>
      <c r="AA111" s="2" t="s">
        <v>1351</v>
      </c>
      <c r="AB111" s="1" t="s">
        <v>1350</v>
      </c>
    </row>
    <row r="112" spans="1:28">
      <c r="A112" s="4">
        <v>110</v>
      </c>
      <c r="B112" s="1" t="s">
        <v>1349</v>
      </c>
      <c r="C112" s="1" t="s">
        <v>1348</v>
      </c>
      <c r="D112" s="5" t="s">
        <v>1347</v>
      </c>
      <c r="E112" s="1" t="s">
        <v>1346</v>
      </c>
      <c r="F112" s="1" t="s">
        <v>1345</v>
      </c>
      <c r="G112" s="10"/>
      <c r="H112" s="10" t="str">
        <f>IF(Q112&lt;100000,"1.마이크로-10만명 미만","2.메가-10만명 이상")</f>
        <v>1.마이크로-10만명 미만</v>
      </c>
      <c r="I112" s="10" t="str">
        <f ca="1">IFERROR(__xludf.DUMMYFUNCTION("iferror(REGEXEXTRACT(E112,""[a-zA-Z0-9._%+-]+@[a-zA-Z0-9.-]+\.[a-zA-Z]{2,}""),""2.이메일 없음"")"),"lkyancey@pearpop.com")</f>
        <v>lkyancey@pearpop.com</v>
      </c>
      <c r="J112" s="10">
        <f>IFERROR((S112+T112+U112)/V112,"")</f>
        <v>4.8886827458256028E-3</v>
      </c>
      <c r="K112" s="9">
        <f>IFERROR(U112/V112,"")</f>
        <v>8.3487940630797776E-5</v>
      </c>
      <c r="L112" s="8">
        <f>IFERROR(MIN(Q112/1000*1.5, 150),"")</f>
        <v>75.900000000000006</v>
      </c>
      <c r="M112" s="7">
        <f>IFERROR(V112/Q112,"")</f>
        <v>2.1304347826086958</v>
      </c>
      <c r="N112" s="6">
        <f>IFERROR((S112+U112)/Q112,"")</f>
        <v>9.2292490118577077E-3</v>
      </c>
      <c r="O112" s="6">
        <f>IFERROR(100/(L112+1),"")</f>
        <v>1.3003901170351104</v>
      </c>
      <c r="P112" s="5" t="s">
        <v>1344</v>
      </c>
      <c r="Q112" s="4">
        <v>50600</v>
      </c>
      <c r="R112" s="4">
        <v>1547</v>
      </c>
      <c r="S112" s="4">
        <v>458</v>
      </c>
      <c r="T112" s="4">
        <v>60</v>
      </c>
      <c r="U112" s="4">
        <v>9</v>
      </c>
      <c r="V112" s="4">
        <v>107800</v>
      </c>
      <c r="W112" s="4">
        <v>8</v>
      </c>
      <c r="X112" s="1" t="s">
        <v>1343</v>
      </c>
      <c r="Y112" s="1" t="s">
        <v>404</v>
      </c>
      <c r="Z112" s="3">
        <v>45156.06927083333</v>
      </c>
      <c r="AA112" s="2" t="s">
        <v>1342</v>
      </c>
      <c r="AB112" s="1" t="s">
        <v>1341</v>
      </c>
    </row>
    <row r="113" spans="1:28">
      <c r="A113" s="4">
        <v>111</v>
      </c>
      <c r="B113" s="1" t="s">
        <v>465</v>
      </c>
      <c r="C113" s="1" t="s">
        <v>464</v>
      </c>
      <c r="D113" s="5" t="s">
        <v>463</v>
      </c>
      <c r="E113" s="1" t="s">
        <v>462</v>
      </c>
      <c r="F113" s="1" t="s">
        <v>1340</v>
      </c>
      <c r="G113" s="10"/>
      <c r="H113" s="10" t="str">
        <f>IF(Q113&lt;100000,"1.마이크로-10만명 미만","2.메가-10만명 이상")</f>
        <v>2.메가-10만명 이상</v>
      </c>
      <c r="I113" s="10" t="str">
        <f ca="1">IFERROR(__xludf.DUMMYFUNCTION("iferror(REGEXEXTRACT(E113,""[a-zA-Z0-9._%+-]+@[a-zA-Z0-9.-]+\.[a-zA-Z]{2,}""),""2.이메일 없음"")"),"aimee@friendsinreality.com")</f>
        <v>aimee@friendsinreality.com</v>
      </c>
      <c r="J113" s="10">
        <f>IFERROR((S113+T113+U113)/V113,"")</f>
        <v>0.11894897727272727</v>
      </c>
      <c r="K113" s="9">
        <f>IFERROR(U113/V113,"")</f>
        <v>1.9329545454545454E-4</v>
      </c>
      <c r="L113" s="8">
        <f>IFERROR(MIN(Q113/1000*1.5, 150),"")</f>
        <v>150</v>
      </c>
      <c r="M113" s="7">
        <f>IFERROR(V113/Q113,"")</f>
        <v>11</v>
      </c>
      <c r="N113" s="6">
        <f>IFERROR((S113+U113)/Q113,"")</f>
        <v>1.2521262500000001</v>
      </c>
      <c r="O113" s="6">
        <f>IFERROR(100/(L113+1),"")</f>
        <v>0.66225165562913912</v>
      </c>
      <c r="P113" s="5" t="s">
        <v>1339</v>
      </c>
      <c r="Q113" s="4">
        <v>1600000</v>
      </c>
      <c r="R113" s="4">
        <v>966</v>
      </c>
      <c r="S113" s="4">
        <v>2000000</v>
      </c>
      <c r="T113" s="4">
        <v>90100</v>
      </c>
      <c r="U113" s="4">
        <v>3402</v>
      </c>
      <c r="V113" s="4">
        <v>17600000</v>
      </c>
      <c r="W113" s="4">
        <v>9</v>
      </c>
      <c r="X113" s="1" t="s">
        <v>1338</v>
      </c>
      <c r="Y113" s="1" t="s">
        <v>1337</v>
      </c>
      <c r="Z113" s="3">
        <v>45542.315312500003</v>
      </c>
      <c r="AA113" s="2" t="s">
        <v>1336</v>
      </c>
      <c r="AB113" s="1" t="s">
        <v>456</v>
      </c>
    </row>
    <row r="114" spans="1:28">
      <c r="A114" s="4">
        <v>112</v>
      </c>
      <c r="B114" s="1" t="s">
        <v>164</v>
      </c>
      <c r="C114" s="1" t="s">
        <v>159</v>
      </c>
      <c r="D114" s="5" t="s">
        <v>163</v>
      </c>
      <c r="E114" s="1" t="s">
        <v>162</v>
      </c>
      <c r="F114" s="1" t="s">
        <v>1335</v>
      </c>
      <c r="G114" s="10"/>
      <c r="H114" s="10" t="str">
        <f>IF(Q114&lt;100000,"1.마이크로-10만명 미만","2.메가-10만명 이상")</f>
        <v>2.메가-10만명 이상</v>
      </c>
      <c r="I114" s="10" t="str">
        <f ca="1">IFERROR(__xludf.DUMMYFUNCTION("iferror(REGEXEXTRACT(E114,""[a-zA-Z0-9._%+-]+@[a-zA-Z0-9.-]+\.[a-zA-Z]{2,}""),""2.이메일 없음"")"),"2.이메일 없음")</f>
        <v>2.이메일 없음</v>
      </c>
      <c r="J114" s="10">
        <f>IFERROR((S114+T114+U114)/V114,"")</f>
        <v>1.9947073474470736E-2</v>
      </c>
      <c r="K114" s="9">
        <f>IFERROR(U114/V114,"")</f>
        <v>1.4009962640099626E-4</v>
      </c>
      <c r="L114" s="8">
        <f>IFERROR(MIN(Q114/1000*1.5, 150),"")</f>
        <v>150</v>
      </c>
      <c r="M114" s="7">
        <f>IFERROR(V114/Q114,"")</f>
        <v>0.21413333333333334</v>
      </c>
      <c r="N114" s="6">
        <f>IFERROR((S114+U114)/Q114,"")</f>
        <v>4.1619999999999999E-3</v>
      </c>
      <c r="O114" s="6">
        <f>IFERROR(100/(L114+1),"")</f>
        <v>0.66225165562913912</v>
      </c>
      <c r="P114" s="5" t="s">
        <v>1334</v>
      </c>
      <c r="Q114" s="4">
        <v>1500000</v>
      </c>
      <c r="R114" s="4">
        <v>2263</v>
      </c>
      <c r="S114" s="4">
        <v>6198</v>
      </c>
      <c r="T114" s="4">
        <v>164</v>
      </c>
      <c r="U114" s="4">
        <v>45</v>
      </c>
      <c r="V114" s="4">
        <v>321200</v>
      </c>
      <c r="W114" s="4">
        <v>16</v>
      </c>
      <c r="X114" s="1" t="s">
        <v>23</v>
      </c>
      <c r="Y114" s="1" t="s">
        <v>159</v>
      </c>
      <c r="Z114" s="3">
        <v>45196.245937500003</v>
      </c>
      <c r="AA114" s="2" t="s">
        <v>1333</v>
      </c>
      <c r="AB114" s="1" t="s">
        <v>157</v>
      </c>
    </row>
    <row r="115" spans="1:28">
      <c r="A115" s="4">
        <v>113</v>
      </c>
      <c r="B115" s="1" t="s">
        <v>1332</v>
      </c>
      <c r="C115" s="1" t="s">
        <v>1331</v>
      </c>
      <c r="D115" s="5" t="s">
        <v>1330</v>
      </c>
      <c r="E115" s="1" t="s">
        <v>1329</v>
      </c>
      <c r="F115" s="1" t="s">
        <v>1328</v>
      </c>
      <c r="G115" s="10"/>
      <c r="H115" s="10" t="str">
        <f>IF(Q115&lt;100000,"1.마이크로-10만명 미만","2.메가-10만명 이상")</f>
        <v>1.마이크로-10만명 미만</v>
      </c>
      <c r="I115" s="10" t="str">
        <f ca="1">IFERROR(__xludf.DUMMYFUNCTION("iferror(REGEXEXTRACT(E115,""[a-zA-Z0-9._%+-]+@[a-zA-Z0-9.-]+\.[a-zA-Z]{2,}""),""2.이메일 없음"")"),"Gabriellakminuto@gmail.com")</f>
        <v>Gabriellakminuto@gmail.com</v>
      </c>
      <c r="J115" s="10">
        <f>IFERROR((S115+T115+U115)/V115,"")</f>
        <v>4.0142180094786727E-2</v>
      </c>
      <c r="K115" s="9">
        <f>IFERROR(U115/V115,"")</f>
        <v>5.6872037914691947E-4</v>
      </c>
      <c r="L115" s="8">
        <f>IFERROR(MIN(Q115/1000*1.5, 150),"")</f>
        <v>62.550000000000004</v>
      </c>
      <c r="M115" s="7">
        <f>IFERROR(V115/Q115,"")</f>
        <v>0.50599520383693042</v>
      </c>
      <c r="N115" s="6">
        <f>IFERROR((S115+U115)/Q115,"")</f>
        <v>1.9832134292565948E-2</v>
      </c>
      <c r="O115" s="6">
        <f>IFERROR(100/(L115+1),"")</f>
        <v>1.5735641227380015</v>
      </c>
      <c r="P115" s="5" t="s">
        <v>1327</v>
      </c>
      <c r="Q115" s="4">
        <v>41700</v>
      </c>
      <c r="R115" s="4">
        <v>203</v>
      </c>
      <c r="S115" s="4">
        <v>815</v>
      </c>
      <c r="T115" s="4">
        <v>20</v>
      </c>
      <c r="U115" s="4">
        <v>12</v>
      </c>
      <c r="V115" s="4">
        <v>21100</v>
      </c>
      <c r="W115" s="4">
        <v>62</v>
      </c>
      <c r="X115" s="1" t="s">
        <v>1326</v>
      </c>
      <c r="Y115" s="1" t="s">
        <v>1325</v>
      </c>
      <c r="Z115" s="3">
        <v>45886.283078703702</v>
      </c>
      <c r="AA115" s="2" t="s">
        <v>1324</v>
      </c>
      <c r="AB115" s="1" t="s">
        <v>1323</v>
      </c>
    </row>
    <row r="116" spans="1:28">
      <c r="A116" s="4">
        <v>114</v>
      </c>
      <c r="B116" s="1" t="s">
        <v>1322</v>
      </c>
      <c r="C116" s="1" t="s">
        <v>1321</v>
      </c>
      <c r="D116" s="5" t="s">
        <v>1320</v>
      </c>
      <c r="E116" s="1" t="s">
        <v>1319</v>
      </c>
      <c r="F116" s="1" t="s">
        <v>1318</v>
      </c>
      <c r="G116" s="10"/>
      <c r="H116" s="10" t="str">
        <f>IF(Q116&lt;100000,"1.마이크로-10만명 미만","2.메가-10만명 이상")</f>
        <v>2.메가-10만명 이상</v>
      </c>
      <c r="I116" s="10" t="str">
        <f ca="1">IFERROR(__xludf.DUMMYFUNCTION("iferror(REGEXEXTRACT(E116,""[a-zA-Z0-9._%+-]+@[a-zA-Z0-9.-]+\.[a-zA-Z]{2,}""),""2.이메일 없음"")"),"leah@thetalentnet.com.au")</f>
        <v>leah@thetalentnet.com.au</v>
      </c>
      <c r="J116" s="10">
        <f>IFERROR((S116+T116+U116)/V116,"")</f>
        <v>2.7462879276952873E-2</v>
      </c>
      <c r="K116" s="9">
        <f>IFERROR(U116/V116,"")</f>
        <v>1.291155584247902E-4</v>
      </c>
      <c r="L116" s="8">
        <f>IFERROR(MIN(Q116/1000*1.5, 150),"")</f>
        <v>150</v>
      </c>
      <c r="M116" s="7">
        <f>IFERROR(V116/Q116,"")</f>
        <v>1.6910480349344978</v>
      </c>
      <c r="N116" s="6">
        <f>IFERROR((S116+U116)/Q116,"")</f>
        <v>4.0322052401746723E-2</v>
      </c>
      <c r="O116" s="6">
        <f>IFERROR(100/(L116+1),"")</f>
        <v>0.66225165562913912</v>
      </c>
      <c r="P116" s="5" t="s">
        <v>1317</v>
      </c>
      <c r="Q116" s="4">
        <v>183200</v>
      </c>
      <c r="R116" s="4">
        <v>328</v>
      </c>
      <c r="S116" s="4">
        <v>7347</v>
      </c>
      <c r="T116" s="4">
        <v>1121</v>
      </c>
      <c r="U116" s="4">
        <v>40</v>
      </c>
      <c r="V116" s="4">
        <v>309800</v>
      </c>
      <c r="W116" s="4">
        <v>15</v>
      </c>
      <c r="X116" s="1" t="s">
        <v>1316</v>
      </c>
      <c r="Y116" s="1" t="s">
        <v>1315</v>
      </c>
      <c r="Z116" s="3">
        <v>45503.500486111108</v>
      </c>
      <c r="AA116" s="2" t="s">
        <v>1314</v>
      </c>
      <c r="AB116" s="1" t="s">
        <v>1313</v>
      </c>
    </row>
    <row r="117" spans="1:28">
      <c r="A117" s="4">
        <v>115</v>
      </c>
      <c r="B117" s="1" t="s">
        <v>1312</v>
      </c>
      <c r="C117" s="1" t="s">
        <v>1307</v>
      </c>
      <c r="D117" s="5" t="s">
        <v>1311</v>
      </c>
      <c r="E117" s="1" t="s">
        <v>1310</v>
      </c>
      <c r="F117" s="1" t="s">
        <v>1309</v>
      </c>
      <c r="G117" s="10"/>
      <c r="H117" s="10" t="str">
        <f>IF(Q117&lt;100000,"1.마이크로-10만명 미만","2.메가-10만명 이상")</f>
        <v>2.메가-10만명 이상</v>
      </c>
      <c r="I117" s="10" t="str">
        <f ca="1">IFERROR(__xludf.DUMMYFUNCTION("iferror(REGEXEXTRACT(E117,""[a-zA-Z0-9._%+-]+@[a-zA-Z0-9.-]+\.[a-zA-Z]{2,}""),""2.이메일 없음"")"),"mia@connectmgt.com")</f>
        <v>mia@connectmgt.com</v>
      </c>
      <c r="J117" s="10">
        <f>IFERROR((S117+T117+U117)/V117,"")</f>
        <v>1.0616343490304709E-2</v>
      </c>
      <c r="K117" s="9">
        <f>IFERROR(U117/V117,"")</f>
        <v>1.1772853185595567E-4</v>
      </c>
      <c r="L117" s="8">
        <f>IFERROR(MIN(Q117/1000*1.5, 150),"")</f>
        <v>150</v>
      </c>
      <c r="M117" s="7">
        <f>IFERROR(V117/Q117,"")</f>
        <v>0.6777751701478526</v>
      </c>
      <c r="N117" s="6">
        <f>IFERROR((S117+U117)/Q117,"")</f>
        <v>5.4940154893217555E-3</v>
      </c>
      <c r="O117" s="6">
        <f>IFERROR(100/(L117+1),"")</f>
        <v>0.66225165562913912</v>
      </c>
      <c r="P117" s="5" t="s">
        <v>1308</v>
      </c>
      <c r="Q117" s="4">
        <v>426100</v>
      </c>
      <c r="R117" s="4">
        <v>1100</v>
      </c>
      <c r="S117" s="4">
        <v>2307</v>
      </c>
      <c r="T117" s="4">
        <v>725</v>
      </c>
      <c r="U117" s="4">
        <v>34</v>
      </c>
      <c r="V117" s="4">
        <v>288800</v>
      </c>
      <c r="W117" s="4">
        <v>28</v>
      </c>
      <c r="X117" s="1" t="s">
        <v>23</v>
      </c>
      <c r="Y117" s="1" t="s">
        <v>1307</v>
      </c>
      <c r="Z117" s="3">
        <v>45619.777997685182</v>
      </c>
      <c r="AA117" s="2" t="s">
        <v>1306</v>
      </c>
      <c r="AB117" s="1" t="s">
        <v>1305</v>
      </c>
    </row>
    <row r="118" spans="1:28">
      <c r="A118" s="4">
        <v>116</v>
      </c>
      <c r="B118" s="1" t="s">
        <v>1304</v>
      </c>
      <c r="C118" s="1" t="s">
        <v>1304</v>
      </c>
      <c r="D118" s="5" t="s">
        <v>1303</v>
      </c>
      <c r="E118" s="1" t="s">
        <v>1302</v>
      </c>
      <c r="F118" s="1" t="s">
        <v>1301</v>
      </c>
      <c r="G118" s="10"/>
      <c r="H118" s="10" t="str">
        <f>IF(Q118&lt;100000,"1.마이크로-10만명 미만","2.메가-10만명 이상")</f>
        <v>2.메가-10만명 이상</v>
      </c>
      <c r="I118" s="10" t="str">
        <f ca="1">IFERROR(__xludf.DUMMYFUNCTION("iferror(REGEXEXTRACT(E118,""[a-zA-Z0-9._%+-]+@[a-zA-Z0-9.-]+\.[a-zA-Z]{2,}""),""2.이메일 없음"")"),"info@theangelsmgmt.com")</f>
        <v>info@theangelsmgmt.com</v>
      </c>
      <c r="J118" s="10">
        <f>IFERROR((S118+T118+U118)/V118,"")</f>
        <v>1.7730673316708228E-2</v>
      </c>
      <c r="K118" s="9">
        <f>IFERROR(U118/V118,"")</f>
        <v>1.0473815461346633E-3</v>
      </c>
      <c r="L118" s="8">
        <f>IFERROR(MIN(Q118/1000*1.5, 150),"")</f>
        <v>150</v>
      </c>
      <c r="M118" s="7">
        <f>IFERROR(V118/Q118,"")</f>
        <v>0.26876675603217159</v>
      </c>
      <c r="N118" s="6">
        <f>IFERROR((S118+U118)/Q118,"")</f>
        <v>4.6916890080428951E-3</v>
      </c>
      <c r="O118" s="6">
        <f>IFERROR(100/(L118+1),"")</f>
        <v>0.66225165562913912</v>
      </c>
      <c r="P118" s="5" t="s">
        <v>1300</v>
      </c>
      <c r="Q118" s="4">
        <v>149200</v>
      </c>
      <c r="R118" s="4">
        <v>414</v>
      </c>
      <c r="S118" s="4">
        <v>658</v>
      </c>
      <c r="T118" s="4">
        <v>11</v>
      </c>
      <c r="U118" s="4">
        <v>42</v>
      </c>
      <c r="V118" s="4">
        <v>40100</v>
      </c>
      <c r="W118" s="4">
        <v>30</v>
      </c>
      <c r="X118" s="1" t="s">
        <v>1299</v>
      </c>
      <c r="Y118" s="1" t="s">
        <v>1298</v>
      </c>
      <c r="Z118" s="3">
        <v>45387.754976851851</v>
      </c>
      <c r="AA118" s="2" t="s">
        <v>1297</v>
      </c>
      <c r="AB118" s="1" t="s">
        <v>1296</v>
      </c>
    </row>
    <row r="119" spans="1:28">
      <c r="A119" s="4">
        <v>117</v>
      </c>
      <c r="B119" s="1" t="s">
        <v>1295</v>
      </c>
      <c r="C119" s="1" t="s">
        <v>1294</v>
      </c>
      <c r="D119" s="5" t="s">
        <v>1293</v>
      </c>
      <c r="E119" s="1" t="s">
        <v>1292</v>
      </c>
      <c r="F119" s="1" t="s">
        <v>1291</v>
      </c>
      <c r="G119" s="10"/>
      <c r="H119" s="10" t="str">
        <f>IF(Q119&lt;100000,"1.마이크로-10만명 미만","2.메가-10만명 이상")</f>
        <v>1.마이크로-10만명 미만</v>
      </c>
      <c r="I119" s="10" t="str">
        <f ca="1">IFERROR(__xludf.DUMMYFUNCTION("iferror(REGEXEXTRACT(E119,""[a-zA-Z0-9._%+-]+@[a-zA-Z0-9.-]+\.[a-zA-Z]{2,}""),""2.이메일 없음"")"),"contact@hobmanagement.com")</f>
        <v>contact@hobmanagement.com</v>
      </c>
      <c r="J119" s="10">
        <f>IFERROR((S119+T119+U119)/V119,"")</f>
        <v>3.4431416340964083E-2</v>
      </c>
      <c r="K119" s="9">
        <f>IFERROR(U119/V119,"")</f>
        <v>2.0472734040573237E-3</v>
      </c>
      <c r="L119" s="8">
        <f>IFERROR(MIN(Q119/1000*1.5, 150),"")</f>
        <v>15.75</v>
      </c>
      <c r="M119" s="7">
        <f>IFERROR(V119/Q119,"")</f>
        <v>0.51171428571428568</v>
      </c>
      <c r="N119" s="6">
        <f>IFERROR((S119+U119)/Q119,"")</f>
        <v>1.657142857142857E-2</v>
      </c>
      <c r="O119" s="6">
        <f>IFERROR(100/(L119+1),"")</f>
        <v>5.9701492537313436</v>
      </c>
      <c r="P119" s="5" t="s">
        <v>1290</v>
      </c>
      <c r="Q119" s="4">
        <v>10500</v>
      </c>
      <c r="R119" s="4">
        <v>810</v>
      </c>
      <c r="S119" s="4">
        <v>163</v>
      </c>
      <c r="T119" s="4">
        <v>11</v>
      </c>
      <c r="U119" s="4">
        <v>11</v>
      </c>
      <c r="V119" s="4">
        <v>5373</v>
      </c>
      <c r="W119" s="4">
        <v>8</v>
      </c>
      <c r="X119" s="1" t="s">
        <v>1289</v>
      </c>
      <c r="Y119" s="1" t="s">
        <v>1288</v>
      </c>
      <c r="Z119" s="3">
        <v>45865.727523148147</v>
      </c>
      <c r="AA119" s="2" t="s">
        <v>1287</v>
      </c>
      <c r="AB119" s="1" t="s">
        <v>1286</v>
      </c>
    </row>
    <row r="120" spans="1:28">
      <c r="A120" s="4">
        <v>118</v>
      </c>
      <c r="B120" s="1" t="s">
        <v>1285</v>
      </c>
      <c r="C120" s="1" t="s">
        <v>1284</v>
      </c>
      <c r="D120" s="5" t="s">
        <v>1283</v>
      </c>
      <c r="E120" s="1" t="s">
        <v>1282</v>
      </c>
      <c r="F120" s="1" t="s">
        <v>1281</v>
      </c>
      <c r="G120" s="10"/>
      <c r="H120" s="10" t="str">
        <f>IF(Q120&lt;100000,"1.마이크로-10만명 미만","2.메가-10만명 이상")</f>
        <v>1.마이크로-10만명 미만</v>
      </c>
      <c r="I120" s="10" t="str">
        <f ca="1">IFERROR(__xludf.DUMMYFUNCTION("iferror(REGEXEXTRACT(E120,""[a-zA-Z0-9._%+-]+@[a-zA-Z0-9.-]+\.[a-zA-Z]{2,}""),""2.이메일 없음"")"),"riley.collabs1@gmail.com")</f>
        <v>riley.collabs1@gmail.com</v>
      </c>
      <c r="J120" s="10">
        <f>IFERROR((S120+T120+U120)/V120,"")</f>
        <v>1.2356979405034324E-2</v>
      </c>
      <c r="K120" s="9">
        <f>IFERROR(U120/V120,"")</f>
        <v>3.6613272311212814E-4</v>
      </c>
      <c r="L120" s="8">
        <f>IFERROR(MIN(Q120/1000*1.5, 150),"")</f>
        <v>29.400000000000002</v>
      </c>
      <c r="M120" s="7">
        <f>IFERROR(V120/Q120,"")</f>
        <v>2.2295918367346941</v>
      </c>
      <c r="N120" s="6">
        <f>IFERROR((S120+U120)/Q120,"")</f>
        <v>2.5306122448979593E-2</v>
      </c>
      <c r="O120" s="6">
        <f>IFERROR(100/(L120+1),"")</f>
        <v>3.2894736842105261</v>
      </c>
      <c r="P120" s="5" t="s">
        <v>1280</v>
      </c>
      <c r="Q120" s="4">
        <v>19600</v>
      </c>
      <c r="R120" s="4">
        <v>813</v>
      </c>
      <c r="S120" s="4">
        <v>480</v>
      </c>
      <c r="T120" s="4">
        <v>44</v>
      </c>
      <c r="U120" s="4">
        <v>16</v>
      </c>
      <c r="V120" s="4">
        <v>43700</v>
      </c>
      <c r="W120" s="4">
        <v>10</v>
      </c>
      <c r="X120" s="1" t="s">
        <v>1279</v>
      </c>
      <c r="Y120" s="1" t="s">
        <v>1278</v>
      </c>
      <c r="Z120" s="3">
        <v>45552.254236111112</v>
      </c>
      <c r="AA120" s="2" t="s">
        <v>1277</v>
      </c>
      <c r="AB120" s="1" t="s">
        <v>1276</v>
      </c>
    </row>
    <row r="121" spans="1:28">
      <c r="A121" s="4">
        <v>119</v>
      </c>
      <c r="B121" s="1" t="s">
        <v>1275</v>
      </c>
      <c r="C121" s="1" t="s">
        <v>1274</v>
      </c>
      <c r="D121" s="5" t="s">
        <v>1273</v>
      </c>
      <c r="E121" s="1" t="s">
        <v>1272</v>
      </c>
      <c r="F121" s="1" t="s">
        <v>1271</v>
      </c>
      <c r="G121" s="10"/>
      <c r="H121" s="10" t="str">
        <f>IF(Q121&lt;100000,"1.마이크로-10만명 미만","2.메가-10만명 이상")</f>
        <v>1.마이크로-10만명 미만</v>
      </c>
      <c r="I121" s="10" t="str">
        <f ca="1">IFERROR(__xludf.DUMMYFUNCTION("iferror(REGEXEXTRACT(E121,""[a-zA-Z0-9._%+-]+@[a-zA-Z0-9.-]+\.[a-zA-Z]{2,}""),""2.이메일 없음"")"),"monicaxmarra@gmail.com")</f>
        <v>monicaxmarra@gmail.com</v>
      </c>
      <c r="J121" s="10">
        <f>IFERROR((S121+T121+U121)/V121,"")</f>
        <v>1.188034188034188E-2</v>
      </c>
      <c r="K121" s="9">
        <f>IFERROR(U121/V121,"")</f>
        <v>7.6923076923076923E-4</v>
      </c>
      <c r="L121" s="8">
        <f>IFERROR(MIN(Q121/1000*1.5, 150),"")</f>
        <v>39.900000000000006</v>
      </c>
      <c r="M121" s="7">
        <f>IFERROR(V121/Q121,"")</f>
        <v>0.43984962406015038</v>
      </c>
      <c r="N121" s="6">
        <f>IFERROR((S121+U121)/Q121,"")</f>
        <v>5.1503759398496239E-3</v>
      </c>
      <c r="O121" s="6">
        <f>IFERROR(100/(L121+1),"")</f>
        <v>2.4449877750611244</v>
      </c>
      <c r="P121" s="5" t="s">
        <v>1270</v>
      </c>
      <c r="Q121" s="4">
        <v>26600</v>
      </c>
      <c r="R121" s="4">
        <v>313</v>
      </c>
      <c r="S121" s="4">
        <v>128</v>
      </c>
      <c r="T121" s="4">
        <v>2</v>
      </c>
      <c r="U121" s="4">
        <v>9</v>
      </c>
      <c r="V121" s="4">
        <v>11700</v>
      </c>
      <c r="W121" s="4">
        <v>11</v>
      </c>
      <c r="X121" s="1" t="s">
        <v>249</v>
      </c>
      <c r="Y121" s="1" t="s">
        <v>248</v>
      </c>
      <c r="Z121" s="3">
        <v>45454.155439814815</v>
      </c>
      <c r="AA121" s="2" t="s">
        <v>1269</v>
      </c>
      <c r="AB121" s="1" t="s">
        <v>1268</v>
      </c>
    </row>
    <row r="122" spans="1:28">
      <c r="A122" s="4">
        <v>120</v>
      </c>
      <c r="B122" s="1" t="s">
        <v>1267</v>
      </c>
      <c r="C122" s="1" t="s">
        <v>1266</v>
      </c>
      <c r="D122" s="5" t="s">
        <v>1265</v>
      </c>
      <c r="E122" s="1" t="s">
        <v>1264</v>
      </c>
      <c r="F122" s="1" t="s">
        <v>1263</v>
      </c>
      <c r="G122" s="10"/>
      <c r="H122" s="10" t="str">
        <f>IF(Q122&lt;100000,"1.마이크로-10만명 미만","2.메가-10만명 이상")</f>
        <v>1.마이크로-10만명 미만</v>
      </c>
      <c r="I122" s="10" t="str">
        <f ca="1">IFERROR(__xludf.DUMMYFUNCTION("iferror(REGEXEXTRACT(E122,""[a-zA-Z0-9._%+-]+@[a-zA-Z0-9.-]+\.[a-zA-Z]{2,}""),""2.이메일 없음"")"),"2.이메일 없음")</f>
        <v>2.이메일 없음</v>
      </c>
      <c r="J122" s="10">
        <f>IFERROR((S122+T122+U122)/V122,"")</f>
        <v>2.3294372294372295E-2</v>
      </c>
      <c r="K122" s="9">
        <f>IFERROR(U122/V122,"")</f>
        <v>2.0346320346320345E-4</v>
      </c>
      <c r="L122" s="8">
        <f>IFERROR(MIN(Q122/1000*1.5, 150),"")</f>
        <v>16.5</v>
      </c>
      <c r="M122" s="7">
        <f>IFERROR(V122/Q122,"")</f>
        <v>21</v>
      </c>
      <c r="N122" s="6">
        <f>IFERROR((S122+U122)/Q122,"")</f>
        <v>0.45790909090909093</v>
      </c>
      <c r="O122" s="6">
        <f>IFERROR(100/(L122+1),"")</f>
        <v>5.7142857142857144</v>
      </c>
      <c r="P122" s="5" t="s">
        <v>1262</v>
      </c>
      <c r="Q122" s="4">
        <v>11000</v>
      </c>
      <c r="R122" s="4">
        <v>47</v>
      </c>
      <c r="S122" s="4">
        <v>4990</v>
      </c>
      <c r="T122" s="4">
        <v>344</v>
      </c>
      <c r="U122" s="4">
        <v>47</v>
      </c>
      <c r="V122" s="4">
        <v>231000</v>
      </c>
      <c r="W122" s="4">
        <v>12</v>
      </c>
      <c r="X122" s="1" t="s">
        <v>1261</v>
      </c>
      <c r="Y122" s="1" t="s">
        <v>1260</v>
      </c>
      <c r="Z122" s="3">
        <v>45218.061354166668</v>
      </c>
      <c r="AA122" s="2" t="s">
        <v>1259</v>
      </c>
      <c r="AB122" s="1" t="s">
        <v>1258</v>
      </c>
    </row>
    <row r="123" spans="1:28">
      <c r="A123" s="4">
        <v>121</v>
      </c>
      <c r="B123" s="1" t="s">
        <v>1253</v>
      </c>
      <c r="C123" s="1" t="s">
        <v>1253</v>
      </c>
      <c r="D123" s="5" t="s">
        <v>1257</v>
      </c>
      <c r="E123" s="1" t="s">
        <v>1256</v>
      </c>
      <c r="F123" s="1" t="s">
        <v>1255</v>
      </c>
      <c r="G123" s="10"/>
      <c r="H123" s="10" t="str">
        <f>IF(Q123&lt;100000,"1.마이크로-10만명 미만","2.메가-10만명 이상")</f>
        <v>1.마이크로-10만명 미만</v>
      </c>
      <c r="I123" s="10" t="str">
        <f ca="1">IFERROR(__xludf.DUMMYFUNCTION("iferror(REGEXEXTRACT(E123,""[a-zA-Z0-9._%+-]+@[a-zA-Z0-9.-]+\.[a-zA-Z]{2,}""),""2.이메일 없음"")"),"alexlee.zia@gmail.com")</f>
        <v>alexlee.zia@gmail.com</v>
      </c>
      <c r="J123" s="10">
        <f>IFERROR((S123+T123+U123)/V123,"")</f>
        <v>2.0535714285714286E-2</v>
      </c>
      <c r="K123" s="9">
        <f>IFERROR(U123/V123,"")</f>
        <v>8.9285714285714283E-4</v>
      </c>
      <c r="L123" s="8">
        <f>IFERROR(MIN(Q123/1000*1.5, 150),"")</f>
        <v>24.900000000000002</v>
      </c>
      <c r="M123" s="7">
        <f>IFERROR(V123/Q123,"")</f>
        <v>0.67469879518072284</v>
      </c>
      <c r="N123" s="6">
        <f>IFERROR((S123+U123)/Q123,"")</f>
        <v>1.355421686746988E-2</v>
      </c>
      <c r="O123" s="6">
        <f>IFERROR(100/(L123+1),"")</f>
        <v>3.8610038610038608</v>
      </c>
      <c r="P123" s="5" t="s">
        <v>1254</v>
      </c>
      <c r="Q123" s="4">
        <v>16600</v>
      </c>
      <c r="R123" s="4">
        <v>848</v>
      </c>
      <c r="S123" s="4">
        <v>215</v>
      </c>
      <c r="T123" s="4">
        <v>5</v>
      </c>
      <c r="U123" s="4">
        <v>10</v>
      </c>
      <c r="V123" s="4">
        <v>11200</v>
      </c>
      <c r="W123" s="4">
        <v>20</v>
      </c>
      <c r="X123" s="1" t="s">
        <v>23</v>
      </c>
      <c r="Y123" s="1" t="s">
        <v>1253</v>
      </c>
      <c r="Z123" s="3">
        <v>45854.518090277779</v>
      </c>
      <c r="AA123" s="2" t="s">
        <v>1252</v>
      </c>
      <c r="AB123" s="1" t="s">
        <v>1251</v>
      </c>
    </row>
    <row r="124" spans="1:28">
      <c r="A124" s="4">
        <v>122</v>
      </c>
      <c r="B124" s="1" t="s">
        <v>1246</v>
      </c>
      <c r="C124" s="1" t="s">
        <v>1246</v>
      </c>
      <c r="D124" s="5" t="s">
        <v>1250</v>
      </c>
      <c r="E124" s="1" t="s">
        <v>1249</v>
      </c>
      <c r="F124" s="1" t="s">
        <v>1248</v>
      </c>
      <c r="G124" s="10"/>
      <c r="H124" s="10" t="str">
        <f>IF(Q124&lt;100000,"1.마이크로-10만명 미만","2.메가-10만명 이상")</f>
        <v>1.마이크로-10만명 미만</v>
      </c>
      <c r="I124" s="10" t="str">
        <f ca="1">IFERROR(__xludf.DUMMYFUNCTION("iferror(REGEXEXTRACT(E124,""[a-zA-Z0-9._%+-]+@[a-zA-Z0-9.-]+\.[a-zA-Z]{2,}""),""2.이메일 없음"")"),"abbyguolla@gmail.com")</f>
        <v>abbyguolla@gmail.com</v>
      </c>
      <c r="J124" s="10">
        <f>IFERROR((S124+T124+U124)/V124,"")</f>
        <v>4.5668720550924247E-2</v>
      </c>
      <c r="K124" s="9">
        <f>IFERROR(U124/V124,"")</f>
        <v>2.1747009786154403E-3</v>
      </c>
      <c r="L124" s="8">
        <f>IFERROR(MIN(Q124/1000*1.5, 150),"")</f>
        <v>9.3554999999999993</v>
      </c>
      <c r="M124" s="7">
        <f>IFERROR(V124/Q124,"")</f>
        <v>0.44236010902677569</v>
      </c>
      <c r="N124" s="6">
        <f>IFERROR((S124+U124)/Q124,"")</f>
        <v>2.0041686708353375E-2</v>
      </c>
      <c r="O124" s="6">
        <f>IFERROR(100/(L124+1),"")</f>
        <v>9.6567041668678488</v>
      </c>
      <c r="P124" s="5" t="s">
        <v>1247</v>
      </c>
      <c r="Q124" s="4">
        <v>6237</v>
      </c>
      <c r="R124" s="4">
        <v>819</v>
      </c>
      <c r="S124" s="4">
        <v>119</v>
      </c>
      <c r="T124" s="4">
        <v>1</v>
      </c>
      <c r="U124" s="4">
        <v>6</v>
      </c>
      <c r="V124" s="4">
        <v>2759</v>
      </c>
      <c r="W124" s="4">
        <v>30</v>
      </c>
      <c r="X124" s="1" t="s">
        <v>23</v>
      </c>
      <c r="Y124" s="1" t="s">
        <v>1246</v>
      </c>
      <c r="Z124" s="3">
        <v>45881.17050925926</v>
      </c>
      <c r="AA124" s="2" t="s">
        <v>1245</v>
      </c>
      <c r="AB124" s="1" t="s">
        <v>1244</v>
      </c>
    </row>
    <row r="125" spans="1:28">
      <c r="A125" s="4">
        <v>123</v>
      </c>
      <c r="B125" s="1" t="s">
        <v>1243</v>
      </c>
      <c r="C125" s="1" t="s">
        <v>1243</v>
      </c>
      <c r="D125" s="5" t="s">
        <v>1242</v>
      </c>
      <c r="E125" s="3"/>
      <c r="F125" s="1" t="s">
        <v>1241</v>
      </c>
      <c r="G125" s="10"/>
      <c r="H125" s="10" t="str">
        <f>IF(Q125&lt;100000,"1.마이크로-10만명 미만","2.메가-10만명 이상")</f>
        <v>1.마이크로-10만명 미만</v>
      </c>
      <c r="I125" s="10" t="str">
        <f ca="1">IFERROR(__xludf.DUMMYFUNCTION("iferror(REGEXEXTRACT(E125,""[a-zA-Z0-9._%+-]+@[a-zA-Z0-9.-]+\.[a-zA-Z]{2,}""),""2.이메일 없음"")"),"2.이메일 없음")</f>
        <v>2.이메일 없음</v>
      </c>
      <c r="J125" s="10">
        <f>IFERROR((S125+T125+U125)/V125,"")</f>
        <v>1.5303030303030303E-2</v>
      </c>
      <c r="K125" s="9">
        <f>IFERROR(U125/V125,"")</f>
        <v>2.2727272727272727E-4</v>
      </c>
      <c r="L125" s="8">
        <f>IFERROR(MIN(Q125/1000*1.5, 150),"")</f>
        <v>37.200000000000003</v>
      </c>
      <c r="M125" s="7">
        <f>IFERROR(V125/Q125,"")</f>
        <v>3.193548387096774</v>
      </c>
      <c r="N125" s="6">
        <f>IFERROR((S125+U125)/Q125,"")</f>
        <v>4.5887096774193552E-2</v>
      </c>
      <c r="O125" s="6">
        <f>IFERROR(100/(L125+1),"")</f>
        <v>2.6178010471204187</v>
      </c>
      <c r="P125" s="5" t="s">
        <v>1240</v>
      </c>
      <c r="Q125" s="4">
        <v>24800</v>
      </c>
      <c r="R125" s="4">
        <v>30</v>
      </c>
      <c r="S125" s="4">
        <v>1120</v>
      </c>
      <c r="T125" s="4">
        <v>74</v>
      </c>
      <c r="U125" s="4">
        <v>18</v>
      </c>
      <c r="V125" s="4">
        <v>79200</v>
      </c>
      <c r="W125" s="4">
        <v>8</v>
      </c>
      <c r="X125" s="1" t="s">
        <v>1239</v>
      </c>
      <c r="Y125" s="1" t="s">
        <v>1238</v>
      </c>
      <c r="Z125" s="3">
        <v>45647.107222222221</v>
      </c>
      <c r="AA125" s="2" t="s">
        <v>1237</v>
      </c>
      <c r="AB125" s="1" t="s">
        <v>1236</v>
      </c>
    </row>
    <row r="126" spans="1:28">
      <c r="A126" s="4">
        <v>124</v>
      </c>
      <c r="B126" s="1" t="s">
        <v>1235</v>
      </c>
      <c r="C126" s="1" t="s">
        <v>1234</v>
      </c>
      <c r="D126" s="5" t="s">
        <v>1233</v>
      </c>
      <c r="E126" s="1" t="s">
        <v>1232</v>
      </c>
      <c r="F126" s="1" t="s">
        <v>1231</v>
      </c>
      <c r="G126" s="10"/>
      <c r="H126" s="10" t="str">
        <f>IF(Q126&lt;100000,"1.마이크로-10만명 미만","2.메가-10만명 이상")</f>
        <v>2.메가-10만명 이상</v>
      </c>
      <c r="I126" s="10" t="str">
        <f ca="1">IFERROR(__xludf.DUMMYFUNCTION("iferror(REGEXEXTRACT(E126,""[a-zA-Z0-9._%+-]+@[a-zA-Z0-9.-]+\.[a-zA-Z]{2,}""),""2.이메일 없음"")"),"2.이메일 없음")</f>
        <v>2.이메일 없음</v>
      </c>
      <c r="J126" s="10">
        <f>IFERROR((S126+T126+U126)/V126,"")</f>
        <v>0.11684760869565218</v>
      </c>
      <c r="K126" s="9">
        <f>IFERROR(U126/V126,"")</f>
        <v>7.3239130434782612E-4</v>
      </c>
      <c r="L126" s="8">
        <f>IFERROR(MIN(Q126/1000*1.5, 150),"")</f>
        <v>150</v>
      </c>
      <c r="M126" s="7">
        <f>IFERROR(V126/Q126,"")</f>
        <v>30.303030303030305</v>
      </c>
      <c r="N126" s="6">
        <f>IFERROR((S126+U126)/Q126,"")</f>
        <v>3.5116534914361002</v>
      </c>
      <c r="O126" s="6">
        <f>IFERROR(100/(L126+1),"")</f>
        <v>0.66225165562913912</v>
      </c>
      <c r="P126" s="5" t="s">
        <v>1230</v>
      </c>
      <c r="Q126" s="4">
        <v>151800</v>
      </c>
      <c r="R126" s="4">
        <v>496</v>
      </c>
      <c r="S126" s="4">
        <v>529700</v>
      </c>
      <c r="T126" s="4">
        <v>4430</v>
      </c>
      <c r="U126" s="4">
        <v>3369</v>
      </c>
      <c r="V126" s="4">
        <v>4600000</v>
      </c>
      <c r="W126" s="4">
        <v>12</v>
      </c>
      <c r="X126" s="1" t="s">
        <v>348</v>
      </c>
      <c r="Y126" s="1" t="s">
        <v>347</v>
      </c>
      <c r="Z126" s="3">
        <v>45281.334837962961</v>
      </c>
      <c r="AA126" s="2" t="s">
        <v>1229</v>
      </c>
      <c r="AB126" s="1" t="s">
        <v>1228</v>
      </c>
    </row>
    <row r="127" spans="1:28">
      <c r="A127" s="4">
        <v>125</v>
      </c>
      <c r="B127" s="1" t="s">
        <v>1227</v>
      </c>
      <c r="C127" s="1" t="s">
        <v>1222</v>
      </c>
      <c r="D127" s="5" t="s">
        <v>1226</v>
      </c>
      <c r="E127" s="1" t="s">
        <v>1225</v>
      </c>
      <c r="F127" s="1" t="s">
        <v>1224</v>
      </c>
      <c r="G127" s="10"/>
      <c r="H127" s="10" t="str">
        <f>IF(Q127&lt;100000,"1.마이크로-10만명 미만","2.메가-10만명 이상")</f>
        <v>2.메가-10만명 이상</v>
      </c>
      <c r="I127" s="10" t="str">
        <f ca="1">IFERROR(__xludf.DUMMYFUNCTION("iferror(REGEXEXTRACT(E127,""[a-zA-Z0-9._%+-]+@[a-zA-Z0-9.-]+\.[a-zA-Z]{2,}""),""2.이메일 없음"")"),"jessteam@unitedtalent.com")</f>
        <v>jessteam@unitedtalent.com</v>
      </c>
      <c r="J127" s="10">
        <f>IFERROR((S127+T127+U127)/V127,"")</f>
        <v>8.1127720378105075E-2</v>
      </c>
      <c r="K127" s="9">
        <f>IFERROR(U127/V127,"")</f>
        <v>1.9234996702571994E-4</v>
      </c>
      <c r="L127" s="8">
        <f>IFERROR(MIN(Q127/1000*1.5, 150),"")</f>
        <v>150</v>
      </c>
      <c r="M127" s="7">
        <f>IFERROR(V127/Q127,"")</f>
        <v>0.20677272727272727</v>
      </c>
      <c r="N127" s="6">
        <f>IFERROR((S127+U127)/Q127,"")</f>
        <v>1.6721590909090908E-2</v>
      </c>
      <c r="O127" s="6">
        <f>IFERROR(100/(L127+1),"")</f>
        <v>0.66225165562913912</v>
      </c>
      <c r="P127" s="5" t="s">
        <v>1223</v>
      </c>
      <c r="Q127" s="4">
        <v>4400000</v>
      </c>
      <c r="R127" s="4">
        <v>1810</v>
      </c>
      <c r="S127" s="4">
        <v>73400</v>
      </c>
      <c r="T127" s="4">
        <v>235</v>
      </c>
      <c r="U127" s="4">
        <v>175</v>
      </c>
      <c r="V127" s="4">
        <v>909800</v>
      </c>
      <c r="W127" s="4">
        <v>103</v>
      </c>
      <c r="X127" s="1" t="s">
        <v>23</v>
      </c>
      <c r="Y127" s="1" t="s">
        <v>1222</v>
      </c>
      <c r="Z127" s="3">
        <v>45223.172071759262</v>
      </c>
      <c r="AA127" s="2" t="s">
        <v>1221</v>
      </c>
      <c r="AB127" s="1" t="s">
        <v>1220</v>
      </c>
    </row>
    <row r="128" spans="1:28">
      <c r="A128" s="4">
        <v>126</v>
      </c>
      <c r="B128" s="1" t="s">
        <v>1219</v>
      </c>
      <c r="C128" s="1" t="s">
        <v>1214</v>
      </c>
      <c r="D128" s="5" t="s">
        <v>1218</v>
      </c>
      <c r="E128" s="1" t="s">
        <v>1217</v>
      </c>
      <c r="F128" s="1" t="s">
        <v>1216</v>
      </c>
      <c r="G128" s="10"/>
      <c r="H128" s="10" t="str">
        <f>IF(Q128&lt;100000,"1.마이크로-10만명 미만","2.메가-10만명 이상")</f>
        <v>1.마이크로-10만명 미만</v>
      </c>
      <c r="I128" s="10" t="str">
        <f ca="1">IFERROR(__xludf.DUMMYFUNCTION("iferror(REGEXEXTRACT(E128,""[a-zA-Z0-9._%+-]+@[a-zA-Z0-9.-]+\.[a-zA-Z]{2,}""),""2.이메일 없음"")"),"2.이메일 없음")</f>
        <v>2.이메일 없음</v>
      </c>
      <c r="J128" s="10">
        <f>IFERROR((S128+T128+U128)/V128,"")</f>
        <v>6.8680721582264721E-3</v>
      </c>
      <c r="K128" s="9">
        <f>IFERROR(U128/V128,"")</f>
        <v>1.4562051727885243E-4</v>
      </c>
      <c r="L128" s="8">
        <f>IFERROR(MIN(Q128/1000*1.5, 150),"")</f>
        <v>53.099999999999994</v>
      </c>
      <c r="M128" s="7">
        <f>IFERROR(V128/Q128,"")</f>
        <v>12.997175141242938</v>
      </c>
      <c r="N128" s="6">
        <f>IFERROR((S128+U128)/Q128,"")</f>
        <v>8.3644067796610169E-2</v>
      </c>
      <c r="O128" s="6">
        <f>IFERROR(100/(L128+1),"")</f>
        <v>1.8484288354898339</v>
      </c>
      <c r="P128" s="5" t="s">
        <v>1215</v>
      </c>
      <c r="Q128" s="4">
        <v>35400</v>
      </c>
      <c r="R128" s="4">
        <v>1324</v>
      </c>
      <c r="S128" s="4">
        <v>2894</v>
      </c>
      <c r="T128" s="4">
        <v>199</v>
      </c>
      <c r="U128" s="4">
        <v>67</v>
      </c>
      <c r="V128" s="4">
        <v>460100</v>
      </c>
      <c r="W128" s="4">
        <v>26</v>
      </c>
      <c r="X128" s="1" t="s">
        <v>23</v>
      </c>
      <c r="Y128" s="1" t="s">
        <v>1214</v>
      </c>
      <c r="Z128" s="3">
        <v>45582.091377314813</v>
      </c>
      <c r="AA128" s="2" t="s">
        <v>1213</v>
      </c>
      <c r="AB128" s="1" t="s">
        <v>1212</v>
      </c>
    </row>
    <row r="129" spans="1:28">
      <c r="A129" s="4">
        <v>127</v>
      </c>
      <c r="B129" s="1" t="s">
        <v>1211</v>
      </c>
      <c r="C129" s="1" t="s">
        <v>1211</v>
      </c>
      <c r="D129" s="5" t="s">
        <v>1210</v>
      </c>
      <c r="E129" s="1" t="s">
        <v>1209</v>
      </c>
      <c r="F129" s="1" t="s">
        <v>1208</v>
      </c>
      <c r="G129" s="10"/>
      <c r="H129" s="10" t="str">
        <f>IF(Q129&lt;100000,"1.마이크로-10만명 미만","2.메가-10만명 이상")</f>
        <v>1.마이크로-10만명 미만</v>
      </c>
      <c r="I129" s="10" t="str">
        <f ca="1">IFERROR(__xludf.DUMMYFUNCTION("iferror(REGEXEXTRACT(E129,""[a-zA-Z0-9._%+-]+@[a-zA-Z0-9.-]+\.[a-zA-Z]{2,}""),""2.이메일 없음"")"),"infoluciasanchez7@gmail.com")</f>
        <v>infoluciasanchez7@gmail.com</v>
      </c>
      <c r="J129" s="10">
        <f>IFERROR((S129+T129+U129)/V129,"")</f>
        <v>2.1025056947608201E-2</v>
      </c>
      <c r="K129" s="9">
        <f>IFERROR(U129/V129,"")</f>
        <v>5.9225512528473807E-4</v>
      </c>
      <c r="L129" s="8">
        <f>IFERROR(MIN(Q129/1000*1.5, 150),"")</f>
        <v>77.699999999999989</v>
      </c>
      <c r="M129" s="7">
        <f>IFERROR(V129/Q129,"")</f>
        <v>0.84749034749034746</v>
      </c>
      <c r="N129" s="6">
        <f>IFERROR((S129+U129)/Q129,"")</f>
        <v>1.6351351351351351E-2</v>
      </c>
      <c r="O129" s="6">
        <f>IFERROR(100/(L129+1),"")</f>
        <v>1.270648030495553</v>
      </c>
      <c r="P129" s="5" t="s">
        <v>1207</v>
      </c>
      <c r="Q129" s="4">
        <v>51800</v>
      </c>
      <c r="R129" s="4">
        <v>1265</v>
      </c>
      <c r="S129" s="4">
        <v>821</v>
      </c>
      <c r="T129" s="4">
        <v>76</v>
      </c>
      <c r="U129" s="4">
        <v>26</v>
      </c>
      <c r="V129" s="4">
        <v>43900</v>
      </c>
      <c r="W129" s="4">
        <v>23</v>
      </c>
      <c r="X129" s="1" t="s">
        <v>1206</v>
      </c>
      <c r="Y129" s="1" t="s">
        <v>1205</v>
      </c>
      <c r="Z129" s="3">
        <v>45737.245937500003</v>
      </c>
      <c r="AA129" s="2" t="s">
        <v>1204</v>
      </c>
      <c r="AB129" s="1" t="s">
        <v>1203</v>
      </c>
    </row>
    <row r="130" spans="1:28">
      <c r="A130" s="4">
        <v>128</v>
      </c>
      <c r="B130" s="1" t="s">
        <v>1202</v>
      </c>
      <c r="C130" s="1" t="s">
        <v>1202</v>
      </c>
      <c r="D130" s="5" t="s">
        <v>1201</v>
      </c>
      <c r="E130" s="1" t="s">
        <v>1200</v>
      </c>
      <c r="F130" s="1" t="s">
        <v>1199</v>
      </c>
      <c r="G130" s="10"/>
      <c r="H130" s="10" t="str">
        <f>IF(Q130&lt;100000,"1.마이크로-10만명 미만","2.메가-10만명 이상")</f>
        <v>1.마이크로-10만명 미만</v>
      </c>
      <c r="I130" s="10" t="str">
        <f ca="1">IFERROR(__xludf.DUMMYFUNCTION("iferror(REGEXEXTRACT(E130,""[a-zA-Z0-9._%+-]+@[a-zA-Z0-9.-]+\.[a-zA-Z]{2,}""),""2.이메일 없음"")"),"reembasma1018@gmail.com")</f>
        <v>reembasma1018@gmail.com</v>
      </c>
      <c r="J130" s="10">
        <f>IFERROR((S130+T130+U130)/V130,"")</f>
        <v>1.6866250632484397E-2</v>
      </c>
      <c r="K130" s="9">
        <f>IFERROR(U130/V130,"")</f>
        <v>1.0119750379490638E-3</v>
      </c>
      <c r="L130" s="8">
        <f>IFERROR(MIN(Q130/1000*1.5, 150),"")</f>
        <v>9.4334999999999987</v>
      </c>
      <c r="M130" s="7">
        <f>IFERROR(V130/Q130,"")</f>
        <v>0.94275719510256006</v>
      </c>
      <c r="N130" s="6">
        <f>IFERROR((S130+U130)/Q130,"")</f>
        <v>1.526474797265066E-2</v>
      </c>
      <c r="O130" s="6">
        <f>IFERROR(100/(L130+1),"")</f>
        <v>9.584511429529881</v>
      </c>
      <c r="P130" s="5" t="s">
        <v>1198</v>
      </c>
      <c r="Q130" s="4">
        <v>6289</v>
      </c>
      <c r="R130" s="4">
        <v>170</v>
      </c>
      <c r="S130" s="4">
        <v>90</v>
      </c>
      <c r="T130" s="4">
        <v>4</v>
      </c>
      <c r="U130" s="4">
        <v>6</v>
      </c>
      <c r="V130" s="4">
        <v>5929</v>
      </c>
      <c r="W130" s="4">
        <v>6</v>
      </c>
      <c r="X130" s="1" t="s">
        <v>1197</v>
      </c>
      <c r="Y130" s="1" t="s">
        <v>1196</v>
      </c>
      <c r="Z130" s="3">
        <v>45546.348217592589</v>
      </c>
      <c r="AA130" s="2" t="s">
        <v>1195</v>
      </c>
      <c r="AB130" s="1" t="s">
        <v>1194</v>
      </c>
    </row>
    <row r="131" spans="1:28">
      <c r="A131" s="4">
        <v>129</v>
      </c>
      <c r="B131" s="1" t="s">
        <v>1193</v>
      </c>
      <c r="C131" s="1" t="s">
        <v>1193</v>
      </c>
      <c r="D131" s="5" t="s">
        <v>1192</v>
      </c>
      <c r="E131" s="1" t="s">
        <v>1191</v>
      </c>
      <c r="F131" s="1" t="s">
        <v>1190</v>
      </c>
      <c r="G131" s="10"/>
      <c r="H131" s="10" t="str">
        <f>IF(Q131&lt;100000,"1.마이크로-10만명 미만","2.메가-10만명 이상")</f>
        <v>1.마이크로-10만명 미만</v>
      </c>
      <c r="I131" s="10" t="str">
        <f ca="1">IFERROR(__xludf.DUMMYFUNCTION("iferror(REGEXEXTRACT(E131,""[a-zA-Z0-9._%+-]+@[a-zA-Z0-9.-]+\.[a-zA-Z]{2,}""),""2.이메일 없음"")"),"devlassiter@yahoo.com")</f>
        <v>devlassiter@yahoo.com</v>
      </c>
      <c r="J131" s="10">
        <f>IFERROR((S131+T131+U131)/V131,"")</f>
        <v>1.7779857293250673E-2</v>
      </c>
      <c r="K131" s="9">
        <f>IFERROR(U131/V131,"")</f>
        <v>1.9885366709556673E-3</v>
      </c>
      <c r="L131" s="8">
        <f>IFERROR(MIN(Q131/1000*1.5, 150),"")</f>
        <v>29.700000000000003</v>
      </c>
      <c r="M131" s="7">
        <f>IFERROR(V131/Q131,"")</f>
        <v>0.43176767676767674</v>
      </c>
      <c r="N131" s="6">
        <f>IFERROR((S131+U131)/Q131,"")</f>
        <v>7.6262626262626259E-3</v>
      </c>
      <c r="O131" s="6">
        <f>IFERROR(100/(L131+1),"")</f>
        <v>3.2573289902280127</v>
      </c>
      <c r="P131" s="5" t="s">
        <v>1189</v>
      </c>
      <c r="Q131" s="4">
        <v>19800</v>
      </c>
      <c r="R131" s="4">
        <v>788</v>
      </c>
      <c r="S131" s="4">
        <v>134</v>
      </c>
      <c r="T131" s="4">
        <v>1</v>
      </c>
      <c r="U131" s="4">
        <v>17</v>
      </c>
      <c r="V131" s="4">
        <v>8549</v>
      </c>
      <c r="W131" s="4">
        <v>13</v>
      </c>
      <c r="X131" s="1" t="s">
        <v>249</v>
      </c>
      <c r="Y131" s="1" t="s">
        <v>248</v>
      </c>
      <c r="Z131" s="3">
        <v>45503.056597222225</v>
      </c>
      <c r="AA131" s="2" t="s">
        <v>1188</v>
      </c>
      <c r="AB131" s="1" t="s">
        <v>1187</v>
      </c>
    </row>
    <row r="132" spans="1:28">
      <c r="A132" s="4">
        <v>130</v>
      </c>
      <c r="B132" s="1" t="s">
        <v>1186</v>
      </c>
      <c r="C132" s="1" t="s">
        <v>1181</v>
      </c>
      <c r="D132" s="5" t="s">
        <v>1185</v>
      </c>
      <c r="E132" s="1" t="s">
        <v>1184</v>
      </c>
      <c r="F132" s="1" t="s">
        <v>1183</v>
      </c>
      <c r="G132" s="10"/>
      <c r="H132" s="10" t="str">
        <f>IF(Q132&lt;100000,"1.마이크로-10만명 미만","2.메가-10만명 이상")</f>
        <v>1.마이크로-10만명 미만</v>
      </c>
      <c r="I132" s="10" t="str">
        <f ca="1">IFERROR(__xludf.DUMMYFUNCTION("iferror(REGEXEXTRACT(E132,""[a-zA-Z0-9._%+-]+@[a-zA-Z0-9.-]+\.[a-zA-Z]{2,}""),""2.이메일 없음"")"),"2.이메일 없음")</f>
        <v>2.이메일 없음</v>
      </c>
      <c r="J132" s="10">
        <f>IFERROR((S132+T132+U132)/V132,"")</f>
        <v>1.303763440860215E-2</v>
      </c>
      <c r="K132" s="9">
        <f>IFERROR(U132/V132,"")</f>
        <v>3.7634408602150538E-4</v>
      </c>
      <c r="L132" s="8">
        <f>IFERROR(MIN(Q132/1000*1.5, 150),"")</f>
        <v>1.5764999999999998</v>
      </c>
      <c r="M132" s="7">
        <f>IFERROR(V132/Q132,"")</f>
        <v>35.394862036156042</v>
      </c>
      <c r="N132" s="6">
        <f>IFERROR((S132+U132)/Q132,"")</f>
        <v>0.41864890580399622</v>
      </c>
      <c r="O132" s="6">
        <f>IFERROR(100/(L132+1),"")</f>
        <v>38.812342324859308</v>
      </c>
      <c r="P132" s="5" t="s">
        <v>1182</v>
      </c>
      <c r="Q132" s="4">
        <v>1051</v>
      </c>
      <c r="R132" s="4">
        <v>213</v>
      </c>
      <c r="S132" s="4">
        <v>426</v>
      </c>
      <c r="T132" s="4">
        <v>45</v>
      </c>
      <c r="U132" s="4">
        <v>14</v>
      </c>
      <c r="V132" s="4">
        <v>37200</v>
      </c>
      <c r="W132" s="4">
        <v>18</v>
      </c>
      <c r="X132" s="1" t="s">
        <v>23</v>
      </c>
      <c r="Y132" s="1" t="s">
        <v>1181</v>
      </c>
      <c r="Z132" s="3">
        <v>45665.197488425925</v>
      </c>
      <c r="AA132" s="2" t="s">
        <v>1180</v>
      </c>
      <c r="AB132" s="1" t="s">
        <v>1179</v>
      </c>
    </row>
    <row r="133" spans="1:28">
      <c r="A133" s="4">
        <v>131</v>
      </c>
      <c r="B133" s="1" t="s">
        <v>1178</v>
      </c>
      <c r="C133" s="1" t="s">
        <v>1177</v>
      </c>
      <c r="D133" s="5" t="s">
        <v>1176</v>
      </c>
      <c r="E133" s="1" t="s">
        <v>1175</v>
      </c>
      <c r="F133" s="1" t="s">
        <v>1174</v>
      </c>
      <c r="G133" s="10"/>
      <c r="H133" s="10" t="str">
        <f>IF(Q133&lt;100000,"1.마이크로-10만명 미만","2.메가-10만명 이상")</f>
        <v>2.메가-10만명 이상</v>
      </c>
      <c r="I133" s="10" t="str">
        <f ca="1">IFERROR(__xludf.DUMMYFUNCTION("iferror(REGEXEXTRACT(E133,""[a-zA-Z0-9._%+-]+@[a-zA-Z0-9.-]+\.[a-zA-Z]{2,}""),""2.이메일 없음"")"),"nicki@socialcasaco.com")</f>
        <v>nicki@socialcasaco.com</v>
      </c>
      <c r="J133" s="10">
        <f>IFERROR((S133+T133+U133)/V133,"")</f>
        <v>3.377562028047465E-2</v>
      </c>
      <c r="K133" s="9">
        <f>IFERROR(U133/V133,"")</f>
        <v>9.5546309138542154E-5</v>
      </c>
      <c r="L133" s="8">
        <f>IFERROR(MIN(Q133/1000*1.5, 150),"")</f>
        <v>150</v>
      </c>
      <c r="M133" s="7">
        <f>IFERROR(V133/Q133,"")</f>
        <v>0.83384734001542016</v>
      </c>
      <c r="N133" s="6">
        <f>IFERROR((S133+U133)/Q133,"")</f>
        <v>2.706502184528399E-2</v>
      </c>
      <c r="O133" s="6">
        <f>IFERROR(100/(L133+1),"")</f>
        <v>0.66225165562913912</v>
      </c>
      <c r="P133" s="5" t="s">
        <v>1173</v>
      </c>
      <c r="Q133" s="4">
        <v>778200</v>
      </c>
      <c r="R133" s="4">
        <v>334</v>
      </c>
      <c r="S133" s="4">
        <v>21000</v>
      </c>
      <c r="T133" s="4">
        <v>855</v>
      </c>
      <c r="U133" s="4">
        <v>62</v>
      </c>
      <c r="V133" s="4">
        <v>648900</v>
      </c>
      <c r="W133" s="4">
        <v>10</v>
      </c>
      <c r="X133" s="1" t="s">
        <v>1172</v>
      </c>
      <c r="Y133" s="1" t="s">
        <v>1171</v>
      </c>
      <c r="Z133" s="3">
        <v>45296.232604166667</v>
      </c>
      <c r="AA133" s="2" t="s">
        <v>1170</v>
      </c>
      <c r="AB133" s="1" t="s">
        <v>1169</v>
      </c>
    </row>
    <row r="134" spans="1:28">
      <c r="A134" s="4">
        <v>132</v>
      </c>
      <c r="B134" s="1" t="s">
        <v>1164</v>
      </c>
      <c r="C134" s="1" t="s">
        <v>1164</v>
      </c>
      <c r="D134" s="5" t="s">
        <v>1168</v>
      </c>
      <c r="E134" s="1" t="s">
        <v>1167</v>
      </c>
      <c r="F134" s="1" t="s">
        <v>1166</v>
      </c>
      <c r="G134" s="10"/>
      <c r="H134" s="10" t="str">
        <f>IF(Q134&lt;100000,"1.마이크로-10만명 미만","2.메가-10만명 이상")</f>
        <v>2.메가-10만명 이상</v>
      </c>
      <c r="I134" s="10" t="str">
        <f ca="1">IFERROR(__xludf.DUMMYFUNCTION("iferror(REGEXEXTRACT(E134,""[a-zA-Z0-9._%+-]+@[a-zA-Z0-9.-]+\.[a-zA-Z]{2,}""),""2.이메일 없음"")"),"Tennessee@hldtalent.com")</f>
        <v>Tennessee@hldtalent.com</v>
      </c>
      <c r="J134" s="10">
        <f>IFERROR((S134+T134+U134)/V134,"")</f>
        <v>8.4843125000000005E-2</v>
      </c>
      <c r="K134" s="9">
        <f>IFERROR(U134/V134,"")</f>
        <v>1.6937500000000001E-4</v>
      </c>
      <c r="L134" s="8">
        <f>IFERROR(MIN(Q134/1000*1.5, 150),"")</f>
        <v>150</v>
      </c>
      <c r="M134" s="7">
        <f>IFERROR(V134/Q134,"")</f>
        <v>1.0666666666666667</v>
      </c>
      <c r="N134" s="6">
        <f>IFERROR((S134+U134)/Q134,"")</f>
        <v>9.0314000000000005E-2</v>
      </c>
      <c r="O134" s="6">
        <f>IFERROR(100/(L134+1),"")</f>
        <v>0.66225165562913912</v>
      </c>
      <c r="P134" s="5" t="s">
        <v>1165</v>
      </c>
      <c r="Q134" s="4">
        <v>1500000</v>
      </c>
      <c r="R134" s="4">
        <v>1042</v>
      </c>
      <c r="S134" s="4">
        <v>135200</v>
      </c>
      <c r="T134" s="4">
        <v>278</v>
      </c>
      <c r="U134" s="4">
        <v>271</v>
      </c>
      <c r="V134" s="4">
        <v>1600000</v>
      </c>
      <c r="W134" s="4">
        <v>49</v>
      </c>
      <c r="X134" s="1" t="s">
        <v>23</v>
      </c>
      <c r="Y134" s="1" t="s">
        <v>1164</v>
      </c>
      <c r="Z134" s="3">
        <v>45323.225740740738</v>
      </c>
      <c r="AA134" s="2" t="s">
        <v>1163</v>
      </c>
      <c r="AB134" s="1" t="s">
        <v>1162</v>
      </c>
    </row>
    <row r="135" spans="1:28">
      <c r="A135" s="4">
        <v>133</v>
      </c>
      <c r="B135" s="1" t="s">
        <v>1161</v>
      </c>
      <c r="C135" s="1" t="s">
        <v>1160</v>
      </c>
      <c r="D135" s="5" t="s">
        <v>1159</v>
      </c>
      <c r="E135" s="1" t="s">
        <v>1158</v>
      </c>
      <c r="F135" s="1" t="s">
        <v>1157</v>
      </c>
      <c r="G135" s="10"/>
      <c r="H135" s="10" t="str">
        <f>IF(Q135&lt;100000,"1.마이크로-10만명 미만","2.메가-10만명 이상")</f>
        <v>1.마이크로-10만명 미만</v>
      </c>
      <c r="I135" s="10" t="str">
        <f ca="1">IFERROR(__xludf.DUMMYFUNCTION("iferror(REGEXEXTRACT(E135,""[a-zA-Z0-9._%+-]+@[a-zA-Z0-9.-]+\.[a-zA-Z]{2,}""),""2.이메일 없음"")"),"collabwithlucille@gmail.com")</f>
        <v>collabwithlucille@gmail.com</v>
      </c>
      <c r="J135" s="10">
        <f>IFERROR((S135+T135+U135)/V135,"")</f>
        <v>0.10253904146472806</v>
      </c>
      <c r="K135" s="9">
        <f>IFERROR(U135/V135,"")</f>
        <v>4.5503500269251479E-4</v>
      </c>
      <c r="L135" s="8">
        <f>IFERROR(MIN(Q135/1000*1.5, 150),"")</f>
        <v>38.400000000000006</v>
      </c>
      <c r="M135" s="7">
        <f>IFERROR(V135/Q135,"")</f>
        <v>14.5078125</v>
      </c>
      <c r="N135" s="6">
        <f>IFERROR((S135+U135)/Q135,"")</f>
        <v>1.4480078125</v>
      </c>
      <c r="O135" s="6">
        <f>IFERROR(100/(L135+1),"")</f>
        <v>2.5380710659898473</v>
      </c>
      <c r="P135" s="5" t="s">
        <v>1156</v>
      </c>
      <c r="Q135" s="4">
        <v>25600</v>
      </c>
      <c r="R135" s="4">
        <v>387</v>
      </c>
      <c r="S135" s="4">
        <v>36900</v>
      </c>
      <c r="T135" s="4">
        <v>1014</v>
      </c>
      <c r="U135" s="4">
        <v>169</v>
      </c>
      <c r="V135" s="4">
        <v>371400</v>
      </c>
      <c r="W135" s="4">
        <v>15</v>
      </c>
      <c r="X135" s="1" t="s">
        <v>1155</v>
      </c>
      <c r="Y135" s="1" t="s">
        <v>1154</v>
      </c>
      <c r="Z135" s="3">
        <v>45729.21025462963</v>
      </c>
      <c r="AA135" s="2" t="s">
        <v>1153</v>
      </c>
      <c r="AB135" s="1" t="s">
        <v>1152</v>
      </c>
    </row>
    <row r="136" spans="1:28">
      <c r="A136" s="4">
        <v>134</v>
      </c>
      <c r="B136" s="1" t="s">
        <v>465</v>
      </c>
      <c r="C136" s="1" t="s">
        <v>464</v>
      </c>
      <c r="D136" s="5" t="s">
        <v>463</v>
      </c>
      <c r="E136" s="1" t="s">
        <v>462</v>
      </c>
      <c r="F136" s="1" t="s">
        <v>1151</v>
      </c>
      <c r="G136" s="10"/>
      <c r="H136" s="10" t="str">
        <f>IF(Q136&lt;100000,"1.마이크로-10만명 미만","2.메가-10만명 이상")</f>
        <v>2.메가-10만명 이상</v>
      </c>
      <c r="I136" s="10" t="str">
        <f ca="1">IFERROR(__xludf.DUMMYFUNCTION("iferror(REGEXEXTRACT(E136,""[a-zA-Z0-9._%+-]+@[a-zA-Z0-9.-]+\.[a-zA-Z]{2,}""),""2.이메일 없음"")"),"aimee@friendsinreality.com")</f>
        <v>aimee@friendsinreality.com</v>
      </c>
      <c r="J136" s="10">
        <f>IFERROR((S136+T136+U136)/V136,"")</f>
        <v>0.1578155</v>
      </c>
      <c r="K136" s="9">
        <f>IFERROR(U136/V136,"")</f>
        <v>9.8499999999999995E-5</v>
      </c>
      <c r="L136" s="8">
        <f>IFERROR(MIN(Q136/1000*1.5, 150),"")</f>
        <v>150</v>
      </c>
      <c r="M136" s="7">
        <f>IFERROR(V136/Q136,"")</f>
        <v>1.25</v>
      </c>
      <c r="N136" s="6">
        <f>IFERROR((S136+U136)/Q136,"")</f>
        <v>0.19299812499999999</v>
      </c>
      <c r="O136" s="6">
        <f>IFERROR(100/(L136+1),"")</f>
        <v>0.66225165562913912</v>
      </c>
      <c r="P136" s="5" t="s">
        <v>1150</v>
      </c>
      <c r="Q136" s="4">
        <v>1600000</v>
      </c>
      <c r="R136" s="4">
        <v>966</v>
      </c>
      <c r="S136" s="4">
        <v>308600</v>
      </c>
      <c r="T136" s="4">
        <v>6834</v>
      </c>
      <c r="U136" s="4">
        <v>197</v>
      </c>
      <c r="V136" s="4">
        <v>2000000</v>
      </c>
      <c r="W136" s="4">
        <v>9</v>
      </c>
      <c r="X136" s="1" t="s">
        <v>1149</v>
      </c>
      <c r="Y136" s="1" t="s">
        <v>1148</v>
      </c>
      <c r="Z136" s="3">
        <v>45546.206296296295</v>
      </c>
      <c r="AA136" s="2" t="s">
        <v>1147</v>
      </c>
      <c r="AB136" s="1" t="s">
        <v>456</v>
      </c>
    </row>
    <row r="137" spans="1:28">
      <c r="A137" s="4">
        <v>135</v>
      </c>
      <c r="B137" s="1" t="s">
        <v>1146</v>
      </c>
      <c r="C137" s="1" t="s">
        <v>1146</v>
      </c>
      <c r="D137" s="5" t="s">
        <v>1145</v>
      </c>
      <c r="E137" s="1" t="s">
        <v>1144</v>
      </c>
      <c r="F137" s="1" t="s">
        <v>1143</v>
      </c>
      <c r="G137" s="10"/>
      <c r="H137" s="10" t="str">
        <f>IF(Q137&lt;100000,"1.마이크로-10만명 미만","2.메가-10만명 이상")</f>
        <v>2.메가-10만명 이상</v>
      </c>
      <c r="I137" s="10" t="str">
        <f ca="1">IFERROR(__xludf.DUMMYFUNCTION("iferror(REGEXEXTRACT(E137,""[a-zA-Z0-9._%+-]+@[a-zA-Z0-9.-]+\.[a-zA-Z]{2,}""),""2.이메일 없음"")"),"2.이메일 없음")</f>
        <v>2.이메일 없음</v>
      </c>
      <c r="J137" s="10">
        <f>IFERROR((S137+T137+U137)/V137,"")</f>
        <v>2.276788888888889E-2</v>
      </c>
      <c r="K137" s="9">
        <f>IFERROR(U137/V137,"")</f>
        <v>7.4999999999999993E-5</v>
      </c>
      <c r="L137" s="8">
        <f>IFERROR(MIN(Q137/1000*1.5, 150),"")</f>
        <v>150</v>
      </c>
      <c r="M137" s="7">
        <f>IFERROR(V137/Q137,"")</f>
        <v>20.98391233387736</v>
      </c>
      <c r="N137" s="6">
        <f>IFERROR((S137+U137)/Q137,"")</f>
        <v>0.47138027512240616</v>
      </c>
      <c r="O137" s="6">
        <f>IFERROR(100/(L137+1),"")</f>
        <v>0.66225165562913912</v>
      </c>
      <c r="P137" s="5" t="s">
        <v>1142</v>
      </c>
      <c r="Q137" s="4">
        <v>428900</v>
      </c>
      <c r="R137" s="4">
        <v>719</v>
      </c>
      <c r="S137" s="4">
        <v>201500</v>
      </c>
      <c r="T137" s="4">
        <v>2736</v>
      </c>
      <c r="U137" s="4">
        <v>675</v>
      </c>
      <c r="V137" s="4">
        <v>9000000</v>
      </c>
      <c r="W137" s="4">
        <v>9</v>
      </c>
      <c r="X137" s="1" t="s">
        <v>1141</v>
      </c>
      <c r="Y137" s="1" t="s">
        <v>1140</v>
      </c>
      <c r="Z137" s="3">
        <v>45508.246203703704</v>
      </c>
      <c r="AA137" s="2" t="s">
        <v>1139</v>
      </c>
      <c r="AB137" s="1" t="s">
        <v>1138</v>
      </c>
    </row>
    <row r="138" spans="1:28">
      <c r="A138" s="4">
        <v>136</v>
      </c>
      <c r="B138" s="1" t="s">
        <v>1137</v>
      </c>
      <c r="C138" s="1" t="s">
        <v>1136</v>
      </c>
      <c r="D138" s="5" t="s">
        <v>1135</v>
      </c>
      <c r="E138" s="1" t="s">
        <v>1134</v>
      </c>
      <c r="F138" s="1" t="s">
        <v>1133</v>
      </c>
      <c r="G138" s="10"/>
      <c r="H138" s="10" t="str">
        <f>IF(Q138&lt;100000,"1.마이크로-10만명 미만","2.메가-10만명 이상")</f>
        <v>2.메가-10만명 이상</v>
      </c>
      <c r="I138" s="10" t="str">
        <f ca="1">IFERROR(__xludf.DUMMYFUNCTION("iferror(REGEXEXTRACT(E138,""[a-zA-Z0-9._%+-]+@[a-zA-Z0-9.-]+\.[a-zA-Z]{2,}""),""2.이메일 없음"")"),"sophiecharlotth@nc-agency.de")</f>
        <v>sophiecharlotth@nc-agency.de</v>
      </c>
      <c r="J138" s="10">
        <f>IFERROR((S138+T138+U138)/V138,"")</f>
        <v>0.11240413877054169</v>
      </c>
      <c r="K138" s="9">
        <f>IFERROR(U138/V138,"")</f>
        <v>3.5909920876445525E-4</v>
      </c>
      <c r="L138" s="8">
        <f>IFERROR(MIN(Q138/1000*1.5, 150),"")</f>
        <v>150</v>
      </c>
      <c r="M138" s="7">
        <f>IFERROR(V138/Q138,"")</f>
        <v>0.60315712187958881</v>
      </c>
      <c r="N138" s="6">
        <f>IFERROR((S138+U138)/Q138,"")</f>
        <v>6.6662995594713656E-2</v>
      </c>
      <c r="O138" s="6">
        <f>IFERROR(100/(L138+1),"")</f>
        <v>0.66225165562913912</v>
      </c>
      <c r="P138" s="5" t="s">
        <v>1132</v>
      </c>
      <c r="Q138" s="4">
        <v>272400</v>
      </c>
      <c r="R138" s="4">
        <v>445</v>
      </c>
      <c r="S138" s="4">
        <v>18100</v>
      </c>
      <c r="T138" s="4">
        <v>309</v>
      </c>
      <c r="U138" s="4">
        <v>59</v>
      </c>
      <c r="V138" s="4">
        <v>164300</v>
      </c>
      <c r="W138" s="4">
        <v>13</v>
      </c>
      <c r="X138" s="1" t="s">
        <v>1131</v>
      </c>
      <c r="Y138" s="1" t="s">
        <v>458</v>
      </c>
      <c r="Z138" s="3">
        <v>45748.002210648148</v>
      </c>
      <c r="AA138" s="2" t="s">
        <v>1130</v>
      </c>
      <c r="AB138" s="1" t="s">
        <v>1129</v>
      </c>
    </row>
    <row r="139" spans="1:28">
      <c r="A139" s="4">
        <v>137</v>
      </c>
      <c r="B139" s="1" t="s">
        <v>1128</v>
      </c>
      <c r="C139" s="1" t="s">
        <v>1123</v>
      </c>
      <c r="D139" s="5" t="s">
        <v>1127</v>
      </c>
      <c r="E139" s="1" t="s">
        <v>1126</v>
      </c>
      <c r="F139" s="1" t="s">
        <v>1125</v>
      </c>
      <c r="G139" s="10"/>
      <c r="H139" s="10" t="str">
        <f>IF(Q139&lt;100000,"1.마이크로-10만명 미만","2.메가-10만명 이상")</f>
        <v>1.마이크로-10만명 미만</v>
      </c>
      <c r="I139" s="10" t="str">
        <f ca="1">IFERROR(__xludf.DUMMYFUNCTION("iferror(REGEXEXTRACT(E139,""[a-zA-Z0-9._%+-]+@[a-zA-Z0-9.-]+\.[a-zA-Z]{2,}""),""2.이메일 없음"")"),"michellepostsig@gmail.com")</f>
        <v>michellepostsig@gmail.com</v>
      </c>
      <c r="J139" s="10">
        <f>IFERROR((S139+T139+U139)/V139,"")</f>
        <v>6.9002999999999995E-2</v>
      </c>
      <c r="K139" s="9">
        <f>IFERROR(U139/V139,"")</f>
        <v>2.1350000000000001E-4</v>
      </c>
      <c r="L139" s="8">
        <f>IFERROR(MIN(Q139/1000*1.5, 150),"")</f>
        <v>146.55000000000001</v>
      </c>
      <c r="M139" s="7">
        <f>IFERROR(V139/Q139,"")</f>
        <v>20.470829068577277</v>
      </c>
      <c r="N139" s="6">
        <f>IFERROR((S139+U139)/Q139,"")</f>
        <v>1.4025281473899693</v>
      </c>
      <c r="O139" s="6">
        <f>IFERROR(100/(L139+1),"")</f>
        <v>0.67773636055574371</v>
      </c>
      <c r="P139" s="5" t="s">
        <v>1124</v>
      </c>
      <c r="Q139" s="4">
        <v>97700</v>
      </c>
      <c r="R139" s="4">
        <v>1084</v>
      </c>
      <c r="S139" s="4">
        <v>136600</v>
      </c>
      <c r="T139" s="4">
        <v>979</v>
      </c>
      <c r="U139" s="4">
        <v>427</v>
      </c>
      <c r="V139" s="4">
        <v>2000000</v>
      </c>
      <c r="W139" s="4">
        <v>61</v>
      </c>
      <c r="X139" s="1" t="s">
        <v>23</v>
      </c>
      <c r="Y139" s="1" t="s">
        <v>1123</v>
      </c>
      <c r="Z139" s="3">
        <v>45384.166875000003</v>
      </c>
      <c r="AA139" s="2" t="s">
        <v>1122</v>
      </c>
      <c r="AB139" s="1" t="s">
        <v>1121</v>
      </c>
    </row>
    <row r="140" spans="1:28">
      <c r="A140" s="4">
        <v>138</v>
      </c>
      <c r="B140" s="1" t="s">
        <v>1120</v>
      </c>
      <c r="C140" s="1" t="s">
        <v>1119</v>
      </c>
      <c r="D140" s="5" t="s">
        <v>1118</v>
      </c>
      <c r="E140" s="1" t="s">
        <v>1117</v>
      </c>
      <c r="F140" s="1" t="s">
        <v>1116</v>
      </c>
      <c r="G140" s="10"/>
      <c r="H140" s="10" t="str">
        <f>IF(Q140&lt;100000,"1.마이크로-10만명 미만","2.메가-10만명 이상")</f>
        <v>1.마이크로-10만명 미만</v>
      </c>
      <c r="I140" s="10" t="str">
        <f ca="1">IFERROR(__xludf.DUMMYFUNCTION("iferror(REGEXEXTRACT(E140,""[a-zA-Z0-9._%+-]+@[a-zA-Z0-9.-]+\.[a-zA-Z]{2,}""),""2.이메일 없음"")"),"clairegrossmanbusiness@gmail.com")</f>
        <v>clairegrossmanbusiness@gmail.com</v>
      </c>
      <c r="J140" s="10">
        <f>IFERROR((S140+T140+U140)/V140,"")</f>
        <v>1.627642857142857E-2</v>
      </c>
      <c r="K140" s="9">
        <f>IFERROR(U140/V140,"")</f>
        <v>1.6523809523809525E-4</v>
      </c>
      <c r="L140" s="8">
        <f>IFERROR(MIN(Q140/1000*1.5, 150),"")</f>
        <v>66.300000000000011</v>
      </c>
      <c r="M140" s="7">
        <f>IFERROR(V140/Q140,"")</f>
        <v>95.022624434389144</v>
      </c>
      <c r="N140" s="6">
        <f>IFERROR((S140+U140)/Q140,"")</f>
        <v>1.4319909502262445</v>
      </c>
      <c r="O140" s="6">
        <f>IFERROR(100/(L140+1),"")</f>
        <v>1.4858841010401187</v>
      </c>
      <c r="P140" s="5" t="s">
        <v>1115</v>
      </c>
      <c r="Q140" s="4">
        <v>44200</v>
      </c>
      <c r="R140" s="4">
        <v>73</v>
      </c>
      <c r="S140" s="4">
        <v>62600</v>
      </c>
      <c r="T140" s="4">
        <v>5067</v>
      </c>
      <c r="U140" s="4">
        <v>694</v>
      </c>
      <c r="V140" s="4">
        <v>4200000</v>
      </c>
      <c r="W140" s="4">
        <v>37</v>
      </c>
      <c r="X140" s="1" t="s">
        <v>1114</v>
      </c>
      <c r="Y140" s="1" t="s">
        <v>1113</v>
      </c>
      <c r="Z140" s="3">
        <v>45153.046493055554</v>
      </c>
      <c r="AA140" s="2" t="s">
        <v>1112</v>
      </c>
      <c r="AB140" s="1" t="s">
        <v>1111</v>
      </c>
    </row>
    <row r="141" spans="1:28">
      <c r="A141" s="4">
        <v>139</v>
      </c>
      <c r="B141" s="1" t="s">
        <v>1110</v>
      </c>
      <c r="C141" s="1" t="s">
        <v>1105</v>
      </c>
      <c r="D141" s="5" t="s">
        <v>1109</v>
      </c>
      <c r="E141" s="1" t="s">
        <v>1108</v>
      </c>
      <c r="F141" s="1" t="s">
        <v>1107</v>
      </c>
      <c r="G141" s="10"/>
      <c r="H141" s="10" t="str">
        <f>IF(Q141&lt;100000,"1.마이크로-10만명 미만","2.메가-10만명 이상")</f>
        <v>2.메가-10만명 이상</v>
      </c>
      <c r="I141" s="10" t="str">
        <f ca="1">IFERROR(__xludf.DUMMYFUNCTION("iferror(REGEXEXTRACT(E141,""[a-zA-Z0-9._%+-]+@[a-zA-Z0-9.-]+\.[a-zA-Z]{2,}""),""2.이메일 없음"")"),"justinescr@kensingtongrey.co")</f>
        <v>justinescr@kensingtongrey.co</v>
      </c>
      <c r="J141" s="10">
        <f>IFERROR((S141+T141+U141)/V141,"")</f>
        <v>9.8549222797927466E-2</v>
      </c>
      <c r="K141" s="9">
        <f>IFERROR(U141/V141,"")</f>
        <v>3.6139896373056993E-3</v>
      </c>
      <c r="L141" s="8">
        <f>IFERROR(MIN(Q141/1000*1.5, 150),"")</f>
        <v>150</v>
      </c>
      <c r="M141" s="7">
        <f>IFERROR(V141/Q141,"")</f>
        <v>0.26213921901528014</v>
      </c>
      <c r="N141" s="6">
        <f>IFERROR((S141+U141)/Q141,"")</f>
        <v>2.5541595925297114E-2</v>
      </c>
      <c r="O141" s="6">
        <f>IFERROR(100/(L141+1),"")</f>
        <v>0.66225165562913912</v>
      </c>
      <c r="P141" s="5" t="s">
        <v>1106</v>
      </c>
      <c r="Q141" s="4">
        <v>294500</v>
      </c>
      <c r="R141" s="4">
        <v>662</v>
      </c>
      <c r="S141" s="4">
        <v>7243</v>
      </c>
      <c r="T141" s="4">
        <v>86</v>
      </c>
      <c r="U141" s="4">
        <v>279</v>
      </c>
      <c r="V141" s="4">
        <v>77200</v>
      </c>
      <c r="W141" s="4">
        <v>77</v>
      </c>
      <c r="X141" s="1" t="s">
        <v>23</v>
      </c>
      <c r="Y141" s="1" t="s">
        <v>1105</v>
      </c>
      <c r="Z141" s="3">
        <v>45221.056087962963</v>
      </c>
      <c r="AA141" s="2" t="s">
        <v>1104</v>
      </c>
      <c r="AB141" s="1" t="s">
        <v>1103</v>
      </c>
    </row>
    <row r="142" spans="1:28">
      <c r="A142" s="4">
        <v>140</v>
      </c>
      <c r="B142" s="1" t="s">
        <v>1102</v>
      </c>
      <c r="C142" s="1" t="s">
        <v>1097</v>
      </c>
      <c r="D142" s="5" t="s">
        <v>1101</v>
      </c>
      <c r="E142" s="1" t="s">
        <v>1100</v>
      </c>
      <c r="F142" s="1" t="s">
        <v>1099</v>
      </c>
      <c r="G142" s="10"/>
      <c r="H142" s="10" t="str">
        <f>IF(Q142&lt;100000,"1.마이크로-10만명 미만","2.메가-10만명 이상")</f>
        <v>1.마이크로-10만명 미만</v>
      </c>
      <c r="I142" s="10" t="str">
        <f ca="1">IFERROR(__xludf.DUMMYFUNCTION("iferror(REGEXEXTRACT(E142,""[a-zA-Z0-9._%+-]+@[a-zA-Z0-9.-]+\.[a-zA-Z]{2,}""),""2.이메일 없음"")"),"2.이메일 없음")</f>
        <v>2.이메일 없음</v>
      </c>
      <c r="J142" s="10">
        <f>IFERROR((S142+T142+U142)/V142,"")</f>
        <v>3.4734513274336284E-2</v>
      </c>
      <c r="K142" s="9">
        <f>IFERROR(U142/V142,"")</f>
        <v>2.8761061946902654E-3</v>
      </c>
      <c r="L142" s="8">
        <f>IFERROR(MIN(Q142/1000*1.5, 150),"")</f>
        <v>83.550000000000011</v>
      </c>
      <c r="M142" s="7">
        <f>IFERROR(V142/Q142,"")</f>
        <v>8.1149012567324957E-2</v>
      </c>
      <c r="N142" s="6">
        <f>IFERROR((S142+U142)/Q142,"")</f>
        <v>2.7109515260323159E-3</v>
      </c>
      <c r="O142" s="6">
        <f>IFERROR(100/(L142+1),"")</f>
        <v>1.1827321111768183</v>
      </c>
      <c r="P142" s="5" t="s">
        <v>1098</v>
      </c>
      <c r="Q142" s="4">
        <v>55700</v>
      </c>
      <c r="R142" s="4">
        <v>992</v>
      </c>
      <c r="S142" s="4">
        <v>138</v>
      </c>
      <c r="T142" s="4">
        <v>6</v>
      </c>
      <c r="U142" s="4">
        <v>13</v>
      </c>
      <c r="V142" s="4">
        <v>4520</v>
      </c>
      <c r="W142" s="4">
        <v>20</v>
      </c>
      <c r="X142" s="1" t="s">
        <v>23</v>
      </c>
      <c r="Y142" s="1" t="s">
        <v>1097</v>
      </c>
      <c r="Z142" s="3">
        <v>45905.188877314817</v>
      </c>
      <c r="AA142" s="2" t="s">
        <v>1096</v>
      </c>
      <c r="AB142" s="1" t="s">
        <v>1095</v>
      </c>
    </row>
    <row r="143" spans="1:28">
      <c r="A143" s="4">
        <v>141</v>
      </c>
      <c r="B143" s="1" t="s">
        <v>1094</v>
      </c>
      <c r="C143" s="1" t="s">
        <v>1089</v>
      </c>
      <c r="D143" s="5" t="s">
        <v>1093</v>
      </c>
      <c r="E143" s="1" t="s">
        <v>1092</v>
      </c>
      <c r="F143" s="1" t="s">
        <v>1091</v>
      </c>
      <c r="G143" s="10"/>
      <c r="H143" s="10" t="str">
        <f>IF(Q143&lt;100000,"1.마이크로-10만명 미만","2.메가-10만명 이상")</f>
        <v>2.메가-10만명 이상</v>
      </c>
      <c r="I143" s="10" t="str">
        <f ca="1">IFERROR(__xludf.DUMMYFUNCTION("iferror(REGEXEXTRACT(E143,""[a-zA-Z0-9._%+-]+@[a-zA-Z0-9.-]+\.[a-zA-Z]{2,}""),""2.이메일 없음"")"),"connect@frankiebleau.com")</f>
        <v>connect@frankiebleau.com</v>
      </c>
      <c r="J143" s="10">
        <f>IFERROR((S143+T143+U143)/V143,"")</f>
        <v>7.5799086757990866E-2</v>
      </c>
      <c r="K143" s="9">
        <f>IFERROR(U143/V143,"")</f>
        <v>7.0091324200913241E-3</v>
      </c>
      <c r="L143" s="8">
        <f>IFERROR(MIN(Q143/1000*1.5, 150),"")</f>
        <v>150</v>
      </c>
      <c r="M143" s="7">
        <f>IFERROR(V143/Q143,"")</f>
        <v>0.15592737629049483</v>
      </c>
      <c r="N143" s="6">
        <f>IFERROR((S143+U143)/Q143,"")</f>
        <v>1.1306514773940905E-2</v>
      </c>
      <c r="O143" s="6">
        <f>IFERROR(100/(L143+1),"")</f>
        <v>0.66225165562913912</v>
      </c>
      <c r="P143" s="5" t="s">
        <v>1090</v>
      </c>
      <c r="Q143" s="4">
        <v>280900</v>
      </c>
      <c r="R143" s="4">
        <v>1665</v>
      </c>
      <c r="S143" s="4">
        <v>2869</v>
      </c>
      <c r="T143" s="4">
        <v>144</v>
      </c>
      <c r="U143" s="4">
        <v>307</v>
      </c>
      <c r="V143" s="4">
        <v>43800</v>
      </c>
      <c r="W143" s="4">
        <v>23</v>
      </c>
      <c r="X143" s="1" t="s">
        <v>23</v>
      </c>
      <c r="Y143" s="1" t="s">
        <v>1089</v>
      </c>
      <c r="Z143" s="3">
        <v>45632.277986111112</v>
      </c>
      <c r="AA143" s="2" t="s">
        <v>1088</v>
      </c>
      <c r="AB143" s="1" t="s">
        <v>1087</v>
      </c>
    </row>
    <row r="144" spans="1:28">
      <c r="A144" s="4">
        <v>142</v>
      </c>
      <c r="B144" s="1" t="s">
        <v>1086</v>
      </c>
      <c r="C144" s="1" t="s">
        <v>1085</v>
      </c>
      <c r="D144" s="5" t="s">
        <v>1084</v>
      </c>
      <c r="E144" s="1" t="s">
        <v>1083</v>
      </c>
      <c r="F144" s="1" t="s">
        <v>1082</v>
      </c>
      <c r="G144" s="10"/>
      <c r="H144" s="10" t="str">
        <f>IF(Q144&lt;100000,"1.마이크로-10만명 미만","2.메가-10만명 이상")</f>
        <v>2.메가-10만명 이상</v>
      </c>
      <c r="I144" s="10" t="str">
        <f ca="1">IFERROR(__xludf.DUMMYFUNCTION("iferror(REGEXEXTRACT(E144,""[a-zA-Z0-9._%+-]+@[a-zA-Z0-9.-]+\.[a-zA-Z]{2,}""),""2.이메일 없음"")"),"2.이메일 없음")</f>
        <v>2.이메일 없음</v>
      </c>
      <c r="J144" s="10">
        <f>IFERROR((S144+T144+U144)/V144,"")</f>
        <v>5.3156956004756242E-2</v>
      </c>
      <c r="K144" s="9">
        <f>IFERROR(U144/V144,"")</f>
        <v>1.1652794292508917E-3</v>
      </c>
      <c r="L144" s="8">
        <f>IFERROR(MIN(Q144/1000*1.5, 150),"")</f>
        <v>150</v>
      </c>
      <c r="M144" s="7">
        <f>IFERROR(V144/Q144,"")</f>
        <v>0.12014285714285715</v>
      </c>
      <c r="N144" s="6">
        <f>IFERROR((S144+U144)/Q144,"")</f>
        <v>6.3049999999999998E-3</v>
      </c>
      <c r="O144" s="6">
        <f>IFERROR(100/(L144+1),"")</f>
        <v>0.66225165562913912</v>
      </c>
      <c r="P144" s="5" t="s">
        <v>1081</v>
      </c>
      <c r="Q144" s="4">
        <v>1400000</v>
      </c>
      <c r="R144" s="4">
        <v>865</v>
      </c>
      <c r="S144" s="4">
        <v>8631</v>
      </c>
      <c r="T144" s="4">
        <v>114</v>
      </c>
      <c r="U144" s="4">
        <v>196</v>
      </c>
      <c r="V144" s="4">
        <v>168200</v>
      </c>
      <c r="W144" s="4">
        <v>11</v>
      </c>
      <c r="X144" s="1" t="s">
        <v>23</v>
      </c>
      <c r="Y144" s="1" t="s">
        <v>1080</v>
      </c>
      <c r="Z144" s="3">
        <v>45639.103379629632</v>
      </c>
      <c r="AA144" s="2" t="s">
        <v>1079</v>
      </c>
      <c r="AB144" s="1" t="s">
        <v>1078</v>
      </c>
    </row>
    <row r="145" spans="1:28">
      <c r="A145" s="4">
        <v>143</v>
      </c>
      <c r="B145" s="1" t="s">
        <v>354</v>
      </c>
      <c r="C145" s="1" t="s">
        <v>353</v>
      </c>
      <c r="D145" s="5" t="s">
        <v>352</v>
      </c>
      <c r="E145" s="1" t="s">
        <v>351</v>
      </c>
      <c r="F145" s="1" t="s">
        <v>1077</v>
      </c>
      <c r="G145" s="10"/>
      <c r="H145" s="10" t="str">
        <f>IF(Q145&lt;100000,"1.마이크로-10만명 미만","2.메가-10만명 이상")</f>
        <v>2.메가-10만명 이상</v>
      </c>
      <c r="I145" s="10" t="str">
        <f ca="1">IFERROR(__xludf.DUMMYFUNCTION("iferror(REGEXEXTRACT(E145,""[a-zA-Z0-9._%+-]+@[a-zA-Z0-9.-]+\.[a-zA-Z]{2,}""),""2.이메일 없음"")"),"2.이메일 없음")</f>
        <v>2.이메일 없음</v>
      </c>
      <c r="J145" s="10">
        <f>IFERROR((S145+T145+U145)/V145,"")</f>
        <v>2.2470645161290322E-2</v>
      </c>
      <c r="K145" s="9">
        <f>IFERROR(U145/V145,"")</f>
        <v>1.2290322580645161E-4</v>
      </c>
      <c r="L145" s="8">
        <f>IFERROR(MIN(Q145/1000*1.5, 150),"")</f>
        <v>150</v>
      </c>
      <c r="M145" s="7">
        <f>IFERROR(V145/Q145,"")</f>
        <v>7.7616424636955434</v>
      </c>
      <c r="N145" s="6">
        <f>IFERROR((S145+U145)/Q145,"")</f>
        <v>0.1679544316474712</v>
      </c>
      <c r="O145" s="6">
        <f>IFERROR(100/(L145+1),"")</f>
        <v>0.66225165562913912</v>
      </c>
      <c r="P145" s="5" t="s">
        <v>1076</v>
      </c>
      <c r="Q145" s="4">
        <v>399400</v>
      </c>
      <c r="R145" s="4">
        <v>763</v>
      </c>
      <c r="S145" s="4">
        <v>66700</v>
      </c>
      <c r="T145" s="4">
        <v>2578</v>
      </c>
      <c r="U145" s="4">
        <v>381</v>
      </c>
      <c r="V145" s="4">
        <v>3100000</v>
      </c>
      <c r="W145" s="4">
        <v>9</v>
      </c>
      <c r="X145" s="1" t="s">
        <v>1075</v>
      </c>
      <c r="Y145" s="1" t="s">
        <v>1074</v>
      </c>
      <c r="Z145" s="3">
        <v>45250.418587962966</v>
      </c>
      <c r="AA145" s="2" t="s">
        <v>1073</v>
      </c>
      <c r="AB145" s="1" t="s">
        <v>345</v>
      </c>
    </row>
    <row r="146" spans="1:28">
      <c r="A146" s="4">
        <v>144</v>
      </c>
      <c r="B146" s="1" t="s">
        <v>1072</v>
      </c>
      <c r="C146" s="1" t="s">
        <v>1071</v>
      </c>
      <c r="D146" s="5" t="s">
        <v>1070</v>
      </c>
      <c r="E146" s="1" t="s">
        <v>1069</v>
      </c>
      <c r="F146" s="1" t="s">
        <v>1068</v>
      </c>
      <c r="G146" s="10"/>
      <c r="H146" s="10" t="str">
        <f>IF(Q146&lt;100000,"1.마이크로-10만명 미만","2.메가-10만명 이상")</f>
        <v>1.마이크로-10만명 미만</v>
      </c>
      <c r="I146" s="10" t="str">
        <f ca="1">IFERROR(__xludf.DUMMYFUNCTION("iferror(REGEXEXTRACT(E146,""[a-zA-Z0-9._%+-]+@[a-zA-Z0-9.-]+\.[a-zA-Z]{2,}""),""2.이메일 없음"")"),"taliafotii@gmail.com")</f>
        <v>taliafotii@gmail.com</v>
      </c>
      <c r="J146" s="10">
        <f>IFERROR((S146+T146+U146)/V146,"")</f>
        <v>0.10035643564356436</v>
      </c>
      <c r="K146" s="9">
        <f>IFERROR(U146/V146,"")</f>
        <v>5.0495049504950497E-3</v>
      </c>
      <c r="L146" s="8">
        <f>IFERROR(MIN(Q146/1000*1.5, 150),"")</f>
        <v>7.6425000000000001</v>
      </c>
      <c r="M146" s="7">
        <f>IFERROR(V146/Q146,"")</f>
        <v>9.9116781157998037</v>
      </c>
      <c r="N146" s="6">
        <f>IFERROR((S146+U146)/Q146,"")</f>
        <v>0.96349362119725224</v>
      </c>
      <c r="O146" s="6">
        <f>IFERROR(100/(L146+1),"")</f>
        <v>11.570726063060457</v>
      </c>
      <c r="P146" s="5" t="s">
        <v>1067</v>
      </c>
      <c r="Q146" s="4">
        <v>5095</v>
      </c>
      <c r="R146" s="4">
        <v>818</v>
      </c>
      <c r="S146" s="4">
        <v>4654</v>
      </c>
      <c r="T146" s="4">
        <v>159</v>
      </c>
      <c r="U146" s="4">
        <v>255</v>
      </c>
      <c r="V146" s="4">
        <v>50500</v>
      </c>
      <c r="W146" s="4">
        <v>5</v>
      </c>
      <c r="X146" s="1" t="s">
        <v>23</v>
      </c>
      <c r="Y146" s="1" t="s">
        <v>1066</v>
      </c>
      <c r="Z146" s="3">
        <v>45638.131747685184</v>
      </c>
      <c r="AA146" s="2" t="s">
        <v>1065</v>
      </c>
      <c r="AB146" s="1" t="s">
        <v>1064</v>
      </c>
    </row>
    <row r="147" spans="1:28">
      <c r="A147" s="4">
        <v>145</v>
      </c>
      <c r="B147" s="1" t="s">
        <v>1063</v>
      </c>
      <c r="C147" s="1" t="s">
        <v>1063</v>
      </c>
      <c r="D147" s="5" t="s">
        <v>1062</v>
      </c>
      <c r="E147" s="1" t="s">
        <v>1061</v>
      </c>
      <c r="F147" s="1" t="s">
        <v>1060</v>
      </c>
      <c r="G147" s="10"/>
      <c r="H147" s="10" t="str">
        <f>IF(Q147&lt;100000,"1.마이크로-10만명 미만","2.메가-10만명 이상")</f>
        <v>1.마이크로-10만명 미만</v>
      </c>
      <c r="I147" s="10" t="str">
        <f ca="1">IFERROR(__xludf.DUMMYFUNCTION("iferror(REGEXEXTRACT(E147,""[a-zA-Z0-9._%+-]+@[a-zA-Z0-9.-]+\.[a-zA-Z]{2,}""),""2.이메일 없음"")"),"2.이메일 없음")</f>
        <v>2.이메일 없음</v>
      </c>
      <c r="J147" s="10">
        <f>IFERROR((S147+T147+U147)/V147,"")</f>
        <v>6.8181818181818177E-2</v>
      </c>
      <c r="K147" s="9">
        <f>IFERROR(U147/V147,"")</f>
        <v>1.6233766233766235E-3</v>
      </c>
      <c r="L147" s="8">
        <f>IFERROR(MIN(Q147/1000*1.5, 150),"")</f>
        <v>0.38850000000000001</v>
      </c>
      <c r="M147" s="7">
        <f>IFERROR(V147/Q147,"")</f>
        <v>2.3783783783783785</v>
      </c>
      <c r="N147" s="6">
        <f>IFERROR((S147+U147)/Q147,"")</f>
        <v>0.16216216216216217</v>
      </c>
      <c r="O147" s="6">
        <f>IFERROR(100/(L147+1),"")</f>
        <v>72.020165646380988</v>
      </c>
      <c r="P147" s="5" t="s">
        <v>1059</v>
      </c>
      <c r="Q147" s="4">
        <v>259</v>
      </c>
      <c r="R147" s="4">
        <v>24</v>
      </c>
      <c r="S147" s="4">
        <v>41</v>
      </c>
      <c r="T147" s="4">
        <v>0</v>
      </c>
      <c r="U147" s="4">
        <v>1</v>
      </c>
      <c r="V147" s="4">
        <v>616</v>
      </c>
      <c r="W147" s="4">
        <v>13</v>
      </c>
      <c r="X147" s="1" t="s">
        <v>1058</v>
      </c>
      <c r="Y147" s="1" t="s">
        <v>1057</v>
      </c>
      <c r="Z147" s="3">
        <v>45907.253495370373</v>
      </c>
      <c r="AA147" s="2" t="s">
        <v>1056</v>
      </c>
      <c r="AB147" s="1" t="s">
        <v>1055</v>
      </c>
    </row>
    <row r="148" spans="1:28">
      <c r="A148" s="4">
        <v>146</v>
      </c>
      <c r="B148" s="1" t="s">
        <v>1054</v>
      </c>
      <c r="C148" s="1" t="s">
        <v>1053</v>
      </c>
      <c r="D148" s="5" t="s">
        <v>1052</v>
      </c>
      <c r="E148" s="1" t="s">
        <v>1051</v>
      </c>
      <c r="F148" s="1" t="s">
        <v>1050</v>
      </c>
      <c r="G148" s="10"/>
      <c r="H148" s="10" t="str">
        <f>IF(Q148&lt;100000,"1.마이크로-10만명 미만","2.메가-10만명 이상")</f>
        <v>2.메가-10만명 이상</v>
      </c>
      <c r="I148" s="10" t="str">
        <f ca="1">IFERROR(__xludf.DUMMYFUNCTION("iferror(REGEXEXTRACT(E148,""[a-zA-Z0-9._%+-]+@[a-zA-Z0-9.-]+\.[a-zA-Z]{2,}""),""2.이메일 없음"")"),"chelsea@idolsandicons.co")</f>
        <v>chelsea@idolsandicons.co</v>
      </c>
      <c r="J148" s="10">
        <f>IFERROR((S148+T148+U148)/V148,"")</f>
        <v>5.9975399753997537E-2</v>
      </c>
      <c r="K148" s="9">
        <f>IFERROR(U148/V148,"")</f>
        <v>6.1500615006150063E-4</v>
      </c>
      <c r="L148" s="8">
        <f>IFERROR(MIN(Q148/1000*1.5, 150),"")</f>
        <v>150</v>
      </c>
      <c r="M148" s="7">
        <f>IFERROR(V148/Q148,"")</f>
        <v>0.15704075719528685</v>
      </c>
      <c r="N148" s="6">
        <f>IFERROR((S148+U148)/Q148,"")</f>
        <v>9.3413173652694605E-3</v>
      </c>
      <c r="O148" s="6">
        <f>IFERROR(100/(L148+1),"")</f>
        <v>0.66225165562913912</v>
      </c>
      <c r="P148" s="5" t="s">
        <v>1049</v>
      </c>
      <c r="Q148" s="4">
        <v>517700</v>
      </c>
      <c r="R148" s="4">
        <v>307</v>
      </c>
      <c r="S148" s="4">
        <v>4786</v>
      </c>
      <c r="T148" s="4">
        <v>40</v>
      </c>
      <c r="U148" s="4">
        <v>50</v>
      </c>
      <c r="V148" s="4">
        <v>81300</v>
      </c>
      <c r="W148" s="4">
        <v>18</v>
      </c>
      <c r="X148" s="1" t="s">
        <v>23</v>
      </c>
      <c r="Y148" s="1" t="s">
        <v>1048</v>
      </c>
      <c r="Z148" s="3">
        <v>45882.260960648149</v>
      </c>
      <c r="AA148" s="2" t="s">
        <v>1047</v>
      </c>
      <c r="AB148" s="1" t="s">
        <v>1046</v>
      </c>
    </row>
    <row r="149" spans="1:28">
      <c r="A149" s="4">
        <v>147</v>
      </c>
      <c r="B149" s="1" t="s">
        <v>1045</v>
      </c>
      <c r="C149" s="1" t="s">
        <v>1044</v>
      </c>
      <c r="D149" s="5" t="s">
        <v>1043</v>
      </c>
      <c r="E149" s="1" t="s">
        <v>1042</v>
      </c>
      <c r="F149" s="1" t="s">
        <v>1041</v>
      </c>
      <c r="G149" s="10"/>
      <c r="H149" s="10" t="str">
        <f>IF(Q149&lt;100000,"1.마이크로-10만명 미만","2.메가-10만명 이상")</f>
        <v>1.마이크로-10만명 미만</v>
      </c>
      <c r="I149" s="10" t="str">
        <f ca="1">IFERROR(__xludf.DUMMYFUNCTION("iferror(REGEXEXTRACT(E149,""[a-zA-Z0-9._%+-]+@[a-zA-Z0-9.-]+\.[a-zA-Z]{2,}""),""2.이메일 없음"")"),"2.이메일 없음")</f>
        <v>2.이메일 없음</v>
      </c>
      <c r="J149" s="10">
        <f>IFERROR((S149+T149+U149)/V149,"")</f>
        <v>8.5020242914979755E-2</v>
      </c>
      <c r="K149" s="9">
        <f>IFERROR(U149/V149,"")</f>
        <v>7.2874493927125505E-3</v>
      </c>
      <c r="L149" s="8">
        <f>IFERROR(MIN(Q149/1000*1.5, 150),"")</f>
        <v>23.549999999999997</v>
      </c>
      <c r="M149" s="7">
        <f>IFERROR(V149/Q149,"")</f>
        <v>7.8662420382165602E-2</v>
      </c>
      <c r="N149" s="6">
        <f>IFERROR((S149+U149)/Q149,"")</f>
        <v>6.6878980891719748E-3</v>
      </c>
      <c r="O149" s="6">
        <f>IFERROR(100/(L149+1),"")</f>
        <v>4.0733197556008154</v>
      </c>
      <c r="P149" s="5" t="s">
        <v>1040</v>
      </c>
      <c r="Q149" s="4">
        <v>15700</v>
      </c>
      <c r="R149" s="4">
        <v>465</v>
      </c>
      <c r="S149" s="4">
        <v>96</v>
      </c>
      <c r="T149" s="4">
        <v>0</v>
      </c>
      <c r="U149" s="4">
        <v>9</v>
      </c>
      <c r="V149" s="4">
        <v>1235</v>
      </c>
      <c r="W149" s="4">
        <v>199</v>
      </c>
      <c r="X149" s="1" t="s">
        <v>23</v>
      </c>
      <c r="Y149" s="1" t="s">
        <v>1039</v>
      </c>
      <c r="Z149" s="3">
        <v>45906.402974537035</v>
      </c>
      <c r="AA149" s="2" t="s">
        <v>1038</v>
      </c>
      <c r="AB149" s="1" t="s">
        <v>1037</v>
      </c>
    </row>
    <row r="150" spans="1:28">
      <c r="A150" s="4">
        <v>148</v>
      </c>
      <c r="B150" s="1" t="s">
        <v>1036</v>
      </c>
      <c r="C150" s="1" t="s">
        <v>1035</v>
      </c>
      <c r="D150" s="5" t="s">
        <v>1034</v>
      </c>
      <c r="E150" s="1" t="s">
        <v>1033</v>
      </c>
      <c r="F150" s="1" t="s">
        <v>1032</v>
      </c>
      <c r="G150" s="10"/>
      <c r="H150" s="10" t="str">
        <f>IF(Q150&lt;100000,"1.마이크로-10만명 미만","2.메가-10만명 이상")</f>
        <v>1.마이크로-10만명 미만</v>
      </c>
      <c r="I150" s="10" t="str">
        <f ca="1">IFERROR(__xludf.DUMMYFUNCTION("iferror(REGEXEXTRACT(E150,""[a-zA-Z0-9._%+-]+@[a-zA-Z0-9.-]+\.[a-zA-Z]{2,}""),""2.이메일 없음"")"),"2.이메일 없음")</f>
        <v>2.이메일 없음</v>
      </c>
      <c r="J150" s="10">
        <f>IFERROR((S150+T150+U150)/V150,"")</f>
        <v>3.4449E-2</v>
      </c>
      <c r="K150" s="9">
        <f>IFERROR(U150/V150,"")</f>
        <v>4.55E-4</v>
      </c>
      <c r="L150" s="8">
        <f>IFERROR(MIN(Q150/1000*1.5, 150),"")</f>
        <v>36.599999999999994</v>
      </c>
      <c r="M150" s="7">
        <f>IFERROR(V150/Q150,"")</f>
        <v>40.983606557377051</v>
      </c>
      <c r="N150" s="6">
        <f>IFERROR((S150+U150)/Q150,"")</f>
        <v>1.317827868852459</v>
      </c>
      <c r="O150" s="6">
        <f>IFERROR(100/(L150+1),"")</f>
        <v>2.6595744680851068</v>
      </c>
      <c r="P150" s="5" t="s">
        <v>1031</v>
      </c>
      <c r="Q150" s="4">
        <v>24400</v>
      </c>
      <c r="R150" s="4">
        <v>190</v>
      </c>
      <c r="S150" s="4">
        <v>31700</v>
      </c>
      <c r="T150" s="4">
        <v>2294</v>
      </c>
      <c r="U150" s="4">
        <v>455</v>
      </c>
      <c r="V150" s="4">
        <v>1000000</v>
      </c>
      <c r="W150" s="4">
        <v>10</v>
      </c>
      <c r="X150" s="1" t="s">
        <v>319</v>
      </c>
      <c r="Y150" s="1" t="s">
        <v>1030</v>
      </c>
      <c r="Z150" s="3">
        <v>45398.264618055553</v>
      </c>
      <c r="AA150" s="2" t="s">
        <v>1029</v>
      </c>
      <c r="AB150" s="1" t="s">
        <v>1028</v>
      </c>
    </row>
    <row r="151" spans="1:28">
      <c r="A151" s="4">
        <v>149</v>
      </c>
      <c r="B151" s="1" t="s">
        <v>1027</v>
      </c>
      <c r="C151" s="1" t="s">
        <v>1026</v>
      </c>
      <c r="D151" s="5" t="s">
        <v>1025</v>
      </c>
      <c r="E151" s="1" t="s">
        <v>1024</v>
      </c>
      <c r="F151" s="1" t="s">
        <v>1023</v>
      </c>
      <c r="G151" s="10"/>
      <c r="H151" s="10" t="str">
        <f>IF(Q151&lt;100000,"1.마이크로-10만명 미만","2.메가-10만명 이상")</f>
        <v>2.메가-10만명 이상</v>
      </c>
      <c r="I151" s="10" t="str">
        <f ca="1">IFERROR(__xludf.DUMMYFUNCTION("iferror(REGEXEXTRACT(E151,""[a-zA-Z0-9._%+-]+@[a-zA-Z0-9.-]+\.[a-zA-Z]{2,}""),""2.이메일 없음"")"),"TeamSydneyThomas@CAA.com")</f>
        <v>TeamSydneyThomas@CAA.com</v>
      </c>
      <c r="J151" s="10">
        <f>IFERROR((S151+T151+U151)/V151,"")</f>
        <v>6.2084146341463413E-2</v>
      </c>
      <c r="K151" s="9">
        <f>IFERROR(U151/V151,"")</f>
        <v>2.7926829268292683E-4</v>
      </c>
      <c r="L151" s="8">
        <f>IFERROR(MIN(Q151/1000*1.5, 150),"")</f>
        <v>150</v>
      </c>
      <c r="M151" s="7">
        <f>IFERROR(V151/Q151,"")</f>
        <v>3.7272727272727271</v>
      </c>
      <c r="N151" s="6">
        <f>IFERROR((S151+U151)/Q151,"")</f>
        <v>0.22040454545454546</v>
      </c>
      <c r="O151" s="6">
        <f>IFERROR(100/(L151+1),"")</f>
        <v>0.66225165562913912</v>
      </c>
      <c r="P151" s="5" t="s">
        <v>1022</v>
      </c>
      <c r="Q151" s="4">
        <v>1100000</v>
      </c>
      <c r="R151" s="4">
        <v>924</v>
      </c>
      <c r="S151" s="4">
        <v>241300</v>
      </c>
      <c r="T151" s="4">
        <v>12100</v>
      </c>
      <c r="U151" s="4">
        <v>1145</v>
      </c>
      <c r="V151" s="4">
        <v>4100000</v>
      </c>
      <c r="W151" s="4">
        <v>15</v>
      </c>
      <c r="X151" s="1" t="s">
        <v>1021</v>
      </c>
      <c r="Y151" s="1" t="s">
        <v>1020</v>
      </c>
      <c r="Z151" s="3">
        <v>45465.396238425928</v>
      </c>
      <c r="AA151" s="2" t="s">
        <v>1019</v>
      </c>
      <c r="AB151" s="1" t="s">
        <v>1018</v>
      </c>
    </row>
    <row r="152" spans="1:28">
      <c r="A152" s="4">
        <v>150</v>
      </c>
      <c r="B152" s="1" t="s">
        <v>1017</v>
      </c>
      <c r="C152" s="1" t="s">
        <v>1016</v>
      </c>
      <c r="D152" s="5" t="s">
        <v>1015</v>
      </c>
      <c r="E152" s="1" t="s">
        <v>1014</v>
      </c>
      <c r="F152" s="1" t="s">
        <v>1013</v>
      </c>
      <c r="G152" s="10"/>
      <c r="H152" s="10" t="str">
        <f>IF(Q152&lt;100000,"1.마이크로-10만명 미만","2.메가-10만명 이상")</f>
        <v>1.마이크로-10만명 미만</v>
      </c>
      <c r="I152" s="10" t="str">
        <f ca="1">IFERROR(__xludf.DUMMYFUNCTION("iferror(REGEXEXTRACT(E152,""[a-zA-Z0-9._%+-]+@[a-zA-Z0-9.-]+\.[a-zA-Z]{2,}""),""2.이메일 없음"")"),"2.이메일 없음")</f>
        <v>2.이메일 없음</v>
      </c>
      <c r="J152" s="10">
        <f>IFERROR((S152+T152+U152)/V152,"")</f>
        <v>7.7278481012658232E-2</v>
      </c>
      <c r="K152" s="9">
        <f>IFERROR(U152/V152,"")</f>
        <v>7.911392405063291E-4</v>
      </c>
      <c r="L152" s="8">
        <f>IFERROR(MIN(Q152/1000*1.5, 150),"")</f>
        <v>8.2500000000000004E-2</v>
      </c>
      <c r="M152" s="7">
        <f>IFERROR(V152/Q152,"")</f>
        <v>574.5454545454545</v>
      </c>
      <c r="N152" s="6">
        <f>IFERROR((S152+U152)/Q152,"")</f>
        <v>40.690909090909088</v>
      </c>
      <c r="O152" s="6">
        <f>IFERROR(100/(L152+1),"")</f>
        <v>92.378752886836025</v>
      </c>
      <c r="P152" s="5" t="s">
        <v>1012</v>
      </c>
      <c r="Q152" s="4">
        <v>55</v>
      </c>
      <c r="R152" s="4">
        <v>31</v>
      </c>
      <c r="S152" s="4">
        <v>2213</v>
      </c>
      <c r="T152" s="4">
        <v>204</v>
      </c>
      <c r="U152" s="4">
        <v>25</v>
      </c>
      <c r="V152" s="4">
        <v>31600</v>
      </c>
      <c r="W152" s="4">
        <v>15</v>
      </c>
      <c r="X152" s="1" t="s">
        <v>1011</v>
      </c>
      <c r="Y152" s="1" t="s">
        <v>1010</v>
      </c>
      <c r="Z152" s="3">
        <v>45877.450196759259</v>
      </c>
      <c r="AA152" s="2" t="s">
        <v>1009</v>
      </c>
      <c r="AB152" s="1" t="s">
        <v>1008</v>
      </c>
    </row>
    <row r="153" spans="1:28">
      <c r="A153" s="4">
        <v>151</v>
      </c>
      <c r="B153" s="1" t="s">
        <v>1007</v>
      </c>
      <c r="C153" s="1" t="s">
        <v>1006</v>
      </c>
      <c r="D153" s="5" t="s">
        <v>1005</v>
      </c>
      <c r="E153" s="1" t="s">
        <v>1004</v>
      </c>
      <c r="F153" s="1" t="s">
        <v>1003</v>
      </c>
      <c r="G153" s="10"/>
      <c r="H153" s="10" t="str">
        <f>IF(Q153&lt;100000,"1.마이크로-10만명 미만","2.메가-10만명 이상")</f>
        <v>1.마이크로-10만명 미만</v>
      </c>
      <c r="I153" s="10" t="str">
        <f ca="1">IFERROR(__xludf.DUMMYFUNCTION("iferror(REGEXEXTRACT(E153,""[a-zA-Z0-9._%+-]+@[a-zA-Z0-9.-]+\.[a-zA-Z]{2,}""),""2.이메일 없음"")"),"promo@ralphinakilby.com")</f>
        <v>promo@ralphinakilby.com</v>
      </c>
      <c r="J153" s="10">
        <f>IFERROR((S153+T153+U153)/V153,"")</f>
        <v>5.3288590604026846E-2</v>
      </c>
      <c r="K153" s="9">
        <f>IFERROR(U153/V153,"")</f>
        <v>8.7248322147651005E-4</v>
      </c>
      <c r="L153" s="8">
        <f>IFERROR(MIN(Q153/1000*1.5, 150),"")</f>
        <v>132.30000000000001</v>
      </c>
      <c r="M153" s="7">
        <f>IFERROR(V153/Q153,"")</f>
        <v>0.16893424036281179</v>
      </c>
      <c r="N153" s="6">
        <f>IFERROR((S153+U153)/Q153,"")</f>
        <v>8.7641723356009071E-3</v>
      </c>
      <c r="O153" s="6">
        <f>IFERROR(100/(L153+1),"")</f>
        <v>0.75018754688672162</v>
      </c>
      <c r="P153" s="5" t="s">
        <v>1002</v>
      </c>
      <c r="Q153" s="4">
        <v>88200</v>
      </c>
      <c r="R153" s="4">
        <v>661</v>
      </c>
      <c r="S153" s="4">
        <v>760</v>
      </c>
      <c r="T153" s="4">
        <v>21</v>
      </c>
      <c r="U153" s="4">
        <v>13</v>
      </c>
      <c r="V153" s="4">
        <v>14900</v>
      </c>
      <c r="W153" s="4">
        <v>34</v>
      </c>
      <c r="X153" s="1" t="s">
        <v>1001</v>
      </c>
      <c r="Y153" s="1" t="s">
        <v>1000</v>
      </c>
      <c r="Z153" s="3">
        <v>45748.032905092594</v>
      </c>
      <c r="AA153" s="2" t="s">
        <v>999</v>
      </c>
      <c r="AB153" s="1" t="s">
        <v>998</v>
      </c>
    </row>
    <row r="154" spans="1:28">
      <c r="A154" s="4">
        <v>152</v>
      </c>
      <c r="B154" s="1" t="s">
        <v>997</v>
      </c>
      <c r="C154" s="1" t="s">
        <v>996</v>
      </c>
      <c r="D154" s="5" t="s">
        <v>995</v>
      </c>
      <c r="E154" s="1" t="s">
        <v>994</v>
      </c>
      <c r="F154" s="1" t="s">
        <v>993</v>
      </c>
      <c r="G154" s="10"/>
      <c r="H154" s="10" t="str">
        <f>IF(Q154&lt;100000,"1.마이크로-10만명 미만","2.메가-10만명 이상")</f>
        <v>2.메가-10만명 이상</v>
      </c>
      <c r="I154" s="10" t="str">
        <f ca="1">IFERROR(__xludf.DUMMYFUNCTION("iferror(REGEXEXTRACT(E154,""[a-zA-Z0-9._%+-]+@[a-zA-Z0-9.-]+\.[a-zA-Z]{2,}""),""2.이메일 없음"")"),"contact@kylaleelamb.com")</f>
        <v>contact@kylaleelamb.com</v>
      </c>
      <c r="J154" s="10">
        <f>IFERROR((S154+T154+U154)/V154,"")</f>
        <v>4.981646565285789E-2</v>
      </c>
      <c r="K154" s="9">
        <f>IFERROR(U154/V154,"")</f>
        <v>2.6219192448872575E-3</v>
      </c>
      <c r="L154" s="8">
        <f>IFERROR(MIN(Q154/1000*1.5, 150),"")</f>
        <v>150</v>
      </c>
      <c r="M154" s="7">
        <f>IFERROR(V154/Q154,"")</f>
        <v>2.1426966292134832E-2</v>
      </c>
      <c r="N154" s="6">
        <f>IFERROR((S154+U154)/Q154,"")</f>
        <v>1.0505617977528089E-3</v>
      </c>
      <c r="O154" s="6">
        <f>IFERROR(100/(L154+1),"")</f>
        <v>0.66225165562913912</v>
      </c>
      <c r="P154" s="5" t="s">
        <v>992</v>
      </c>
      <c r="Q154" s="4">
        <v>178000</v>
      </c>
      <c r="R154" s="4">
        <v>1301</v>
      </c>
      <c r="S154" s="4">
        <v>177</v>
      </c>
      <c r="T154" s="4">
        <v>3</v>
      </c>
      <c r="U154" s="4">
        <v>10</v>
      </c>
      <c r="V154" s="4">
        <v>3814</v>
      </c>
      <c r="W154" s="4">
        <v>15</v>
      </c>
      <c r="X154" s="1" t="s">
        <v>991</v>
      </c>
      <c r="Y154" s="1" t="s">
        <v>990</v>
      </c>
      <c r="Z154" s="3">
        <v>45905.939259259256</v>
      </c>
      <c r="AA154" s="2" t="s">
        <v>989</v>
      </c>
      <c r="AB154" s="1" t="s">
        <v>988</v>
      </c>
    </row>
    <row r="155" spans="1:28">
      <c r="A155" s="4">
        <v>153</v>
      </c>
      <c r="B155" s="1" t="s">
        <v>987</v>
      </c>
      <c r="C155" s="1" t="s">
        <v>986</v>
      </c>
      <c r="D155" s="5" t="s">
        <v>985</v>
      </c>
      <c r="E155" s="1" t="s">
        <v>984</v>
      </c>
      <c r="F155" s="1" t="s">
        <v>983</v>
      </c>
      <c r="G155" s="10"/>
      <c r="H155" s="10" t="str">
        <f>IF(Q155&lt;100000,"1.마이크로-10만명 미만","2.메가-10만명 이상")</f>
        <v>1.마이크로-10만명 미만</v>
      </c>
      <c r="I155" s="10" t="str">
        <f ca="1">IFERROR(__xludf.DUMMYFUNCTION("iferror(REGEXEXTRACT(E155,""[a-zA-Z0-9._%+-]+@[a-zA-Z0-9.-]+\.[a-zA-Z]{2,}""),""2.이메일 없음"")"),"2.이메일 없음")</f>
        <v>2.이메일 없음</v>
      </c>
      <c r="J155" s="10">
        <f>IFERROR((S155+T155+U155)/V155,"")</f>
        <v>0.10126032159930465</v>
      </c>
      <c r="K155" s="9">
        <f>IFERROR(U155/V155,"")</f>
        <v>4.9978270317253366E-3</v>
      </c>
      <c r="L155" s="8">
        <f>IFERROR(MIN(Q155/1000*1.5, 150),"")</f>
        <v>0.189</v>
      </c>
      <c r="M155" s="7">
        <f>IFERROR(V155/Q155,"")</f>
        <v>36.523809523809526</v>
      </c>
      <c r="N155" s="6">
        <f>IFERROR((S155+U155)/Q155,"")</f>
        <v>3.6904761904761907</v>
      </c>
      <c r="O155" s="6">
        <f>IFERROR(100/(L155+1),"")</f>
        <v>84.104289318755249</v>
      </c>
      <c r="P155" s="5" t="s">
        <v>982</v>
      </c>
      <c r="Q155" s="4">
        <v>126</v>
      </c>
      <c r="R155" s="4">
        <v>1</v>
      </c>
      <c r="S155" s="4">
        <v>442</v>
      </c>
      <c r="T155" s="4">
        <v>1</v>
      </c>
      <c r="U155" s="4">
        <v>23</v>
      </c>
      <c r="V155" s="4">
        <v>4602</v>
      </c>
      <c r="W155" s="4">
        <v>12</v>
      </c>
      <c r="X155" s="1" t="s">
        <v>23</v>
      </c>
      <c r="Y155" s="1" t="s">
        <v>981</v>
      </c>
      <c r="Z155" s="3">
        <v>45905.272187499999</v>
      </c>
      <c r="AA155" s="2" t="s">
        <v>980</v>
      </c>
      <c r="AB155" s="1" t="s">
        <v>979</v>
      </c>
    </row>
    <row r="156" spans="1:28">
      <c r="A156" s="4">
        <v>154</v>
      </c>
      <c r="B156" s="1" t="s">
        <v>978</v>
      </c>
      <c r="C156" s="1" t="s">
        <v>973</v>
      </c>
      <c r="D156" s="5" t="s">
        <v>977</v>
      </c>
      <c r="E156" s="1" t="s">
        <v>976</v>
      </c>
      <c r="F156" s="1" t="s">
        <v>975</v>
      </c>
      <c r="G156" s="10"/>
      <c r="H156" s="10" t="str">
        <f>IF(Q156&lt;100000,"1.마이크로-10만명 미만","2.메가-10만명 이상")</f>
        <v>1.마이크로-10만명 미만</v>
      </c>
      <c r="I156" s="10" t="str">
        <f ca="1">IFERROR(__xludf.DUMMYFUNCTION("iferror(REGEXEXTRACT(E156,""[a-zA-Z0-9._%+-]+@[a-zA-Z0-9.-]+\.[a-zA-Z]{2,}""),""2.이메일 없음"")"),"sophiaskincare14@gmail.com")</f>
        <v>sophiaskincare14@gmail.com</v>
      </c>
      <c r="J156" s="10">
        <f>IFERROR((S156+T156+U156)/V156,"")</f>
        <v>4.7525722684958353E-2</v>
      </c>
      <c r="K156" s="9">
        <f>IFERROR(U156/V156,"")</f>
        <v>6.8593826555609994E-3</v>
      </c>
      <c r="L156" s="8">
        <f>IFERROR(MIN(Q156/1000*1.5, 150),"")</f>
        <v>5.2140000000000004</v>
      </c>
      <c r="M156" s="7">
        <f>IFERROR(V156/Q156,"")</f>
        <v>0.58716915995397012</v>
      </c>
      <c r="N156" s="6">
        <f>IFERROR((S156+U156)/Q156,"")</f>
        <v>2.7330264672036825E-2</v>
      </c>
      <c r="O156" s="6">
        <f>IFERROR(100/(L156+1),"")</f>
        <v>16.0926939169617</v>
      </c>
      <c r="P156" s="5" t="s">
        <v>974</v>
      </c>
      <c r="Q156" s="4">
        <v>3476</v>
      </c>
      <c r="R156" s="4">
        <v>672</v>
      </c>
      <c r="S156" s="4">
        <v>81</v>
      </c>
      <c r="T156" s="4">
        <v>2</v>
      </c>
      <c r="U156" s="4">
        <v>14</v>
      </c>
      <c r="V156" s="4">
        <v>2041</v>
      </c>
      <c r="W156" s="4">
        <v>28</v>
      </c>
      <c r="X156" s="1" t="s">
        <v>23</v>
      </c>
      <c r="Y156" s="1" t="s">
        <v>973</v>
      </c>
      <c r="Z156" s="3">
        <v>45907.330972222226</v>
      </c>
      <c r="AA156" s="2" t="s">
        <v>972</v>
      </c>
      <c r="AB156" s="1" t="s">
        <v>971</v>
      </c>
    </row>
    <row r="157" spans="1:28">
      <c r="A157" s="4">
        <v>155</v>
      </c>
      <c r="B157" s="1" t="s">
        <v>970</v>
      </c>
      <c r="C157" s="1" t="s">
        <v>969</v>
      </c>
      <c r="D157" s="5" t="s">
        <v>968</v>
      </c>
      <c r="E157" s="1" t="s">
        <v>967</v>
      </c>
      <c r="F157" s="1" t="s">
        <v>966</v>
      </c>
      <c r="G157" s="10"/>
      <c r="H157" s="10" t="str">
        <f>IF(Q157&lt;100000,"1.마이크로-10만명 미만","2.메가-10만명 이상")</f>
        <v>1.마이크로-10만명 미만</v>
      </c>
      <c r="I157" s="10" t="str">
        <f ca="1">IFERROR(__xludf.DUMMYFUNCTION("iferror(REGEXEXTRACT(E157,""[a-zA-Z0-9._%+-]+@[a-zA-Z0-9.-]+\.[a-zA-Z]{2,}""),""2.이메일 없음"")"),"2.이메일 없음")</f>
        <v>2.이메일 없음</v>
      </c>
      <c r="J157" s="10">
        <f>IFERROR((S157+T157+U157)/V157,"")</f>
        <v>1.5973477998794455E-3</v>
      </c>
      <c r="K157" s="9">
        <f>IFERROR(U157/V157,"")</f>
        <v>1.1452682338758288E-4</v>
      </c>
      <c r="L157" s="8">
        <f>IFERROR(MIN(Q157/1000*1.5, 150),"")</f>
        <v>2.4015</v>
      </c>
      <c r="M157" s="7">
        <f>IFERROR(V157/Q157,"")</f>
        <v>103.62273579013117</v>
      </c>
      <c r="N157" s="6">
        <f>IFERROR((S157+U157)/Q157,"")</f>
        <v>0.15552779512804496</v>
      </c>
      <c r="O157" s="6">
        <f>IFERROR(100/(L157+1),"")</f>
        <v>29.398794649419376</v>
      </c>
      <c r="P157" s="5" t="s">
        <v>965</v>
      </c>
      <c r="Q157" s="4">
        <v>1601</v>
      </c>
      <c r="R157" s="4">
        <v>248</v>
      </c>
      <c r="S157" s="4">
        <v>230</v>
      </c>
      <c r="T157" s="4">
        <v>16</v>
      </c>
      <c r="U157" s="4">
        <v>19</v>
      </c>
      <c r="V157" s="4">
        <v>165900</v>
      </c>
      <c r="W157" s="4">
        <v>9</v>
      </c>
      <c r="X157" s="1" t="s">
        <v>964</v>
      </c>
      <c r="Y157" s="1" t="s">
        <v>963</v>
      </c>
      <c r="Z157" s="3">
        <v>45207.652303240742</v>
      </c>
      <c r="AA157" s="2" t="s">
        <v>962</v>
      </c>
      <c r="AB157" s="1" t="s">
        <v>961</v>
      </c>
    </row>
    <row r="158" spans="1:28">
      <c r="A158" s="4">
        <v>156</v>
      </c>
      <c r="B158" s="1" t="s">
        <v>960</v>
      </c>
      <c r="C158" s="1" t="s">
        <v>959</v>
      </c>
      <c r="D158" s="5" t="s">
        <v>958</v>
      </c>
      <c r="E158" s="1" t="s">
        <v>957</v>
      </c>
      <c r="F158" s="1" t="s">
        <v>956</v>
      </c>
      <c r="G158" s="10"/>
      <c r="H158" s="10" t="str">
        <f>IF(Q158&lt;100000,"1.마이크로-10만명 미만","2.메가-10만명 이상")</f>
        <v>1.마이크로-10만명 미만</v>
      </c>
      <c r="I158" s="10" t="str">
        <f ca="1">IFERROR(__xludf.DUMMYFUNCTION("iferror(REGEXEXTRACT(E158,""[a-zA-Z0-9._%+-]+@[a-zA-Z0-9.-]+\.[a-zA-Z]{2,}""),""2.이메일 없음"")"),"epanico00@gmail.com")</f>
        <v>epanico00@gmail.com</v>
      </c>
      <c r="J158" s="10">
        <f>IFERROR((S158+T158+U158)/V158,"")</f>
        <v>1.8855188141391106E-2</v>
      </c>
      <c r="K158" s="9">
        <f>IFERROR(U158/V158,"")</f>
        <v>1.3683010262257697E-4</v>
      </c>
      <c r="L158" s="8">
        <f>IFERROR(MIN(Q158/1000*1.5, 150),"")</f>
        <v>9.1515000000000004</v>
      </c>
      <c r="M158" s="7">
        <f>IFERROR(V158/Q158,"")</f>
        <v>71.873463366661198</v>
      </c>
      <c r="N158" s="6">
        <f>IFERROR((S158+U158)/Q158,"")</f>
        <v>1.2293066710375349</v>
      </c>
      <c r="O158" s="6">
        <f>IFERROR(100/(L158+1),"")</f>
        <v>9.8507609712850321</v>
      </c>
      <c r="P158" s="5" t="s">
        <v>955</v>
      </c>
      <c r="Q158" s="4">
        <v>6101</v>
      </c>
      <c r="R158" s="4">
        <v>490</v>
      </c>
      <c r="S158" s="4">
        <v>7440</v>
      </c>
      <c r="T158" s="4">
        <v>768</v>
      </c>
      <c r="U158" s="4">
        <v>60</v>
      </c>
      <c r="V158" s="4">
        <v>438500</v>
      </c>
      <c r="W158" s="4">
        <v>25</v>
      </c>
      <c r="X158" s="1" t="s">
        <v>954</v>
      </c>
      <c r="Y158" s="1" t="s">
        <v>953</v>
      </c>
      <c r="Z158" s="3">
        <v>45232.228148148148</v>
      </c>
      <c r="AA158" s="2" t="s">
        <v>952</v>
      </c>
      <c r="AB158" s="1" t="s">
        <v>951</v>
      </c>
    </row>
    <row r="159" spans="1:28">
      <c r="A159" s="4">
        <v>157</v>
      </c>
      <c r="B159" s="1" t="s">
        <v>950</v>
      </c>
      <c r="C159" s="1" t="s">
        <v>945</v>
      </c>
      <c r="D159" s="5" t="s">
        <v>949</v>
      </c>
      <c r="E159" s="1" t="s">
        <v>948</v>
      </c>
      <c r="F159" s="1" t="s">
        <v>947</v>
      </c>
      <c r="G159" s="10"/>
      <c r="H159" s="10" t="str">
        <f>IF(Q159&lt;100000,"1.마이크로-10만명 미만","2.메가-10만명 이상")</f>
        <v>2.메가-10만명 이상</v>
      </c>
      <c r="I159" s="10" t="str">
        <f ca="1">IFERROR(__xludf.DUMMYFUNCTION("iferror(REGEXEXTRACT(E159,""[a-zA-Z0-9._%+-]+@[a-zA-Z0-9.-]+\.[a-zA-Z]{2,}""),""2.이메일 없음"")"),"2.이메일 없음")</f>
        <v>2.이메일 없음</v>
      </c>
      <c r="J159" s="10">
        <f>IFERROR((S159+T159+U159)/V159,"")</f>
        <v>4.6828478964401295E-2</v>
      </c>
      <c r="K159" s="9">
        <f>IFERROR(U159/V159,"")</f>
        <v>2.0496224379719526E-4</v>
      </c>
      <c r="L159" s="8">
        <f>IFERROR(MIN(Q159/1000*1.5, 150),"")</f>
        <v>150</v>
      </c>
      <c r="M159" s="7">
        <f>IFERROR(V159/Q159,"")</f>
        <v>9.2700000000000005E-2</v>
      </c>
      <c r="N159" s="6">
        <f>IFERROR((S159+U159)/Q159,"")</f>
        <v>4.1520000000000003E-3</v>
      </c>
      <c r="O159" s="6">
        <f>IFERROR(100/(L159+1),"")</f>
        <v>0.66225165562913912</v>
      </c>
      <c r="P159" s="5" t="s">
        <v>946</v>
      </c>
      <c r="Q159" s="4">
        <v>1000000</v>
      </c>
      <c r="R159" s="4">
        <v>1060</v>
      </c>
      <c r="S159" s="4">
        <v>4133</v>
      </c>
      <c r="T159" s="4">
        <v>189</v>
      </c>
      <c r="U159" s="4">
        <v>19</v>
      </c>
      <c r="V159" s="4">
        <v>92700</v>
      </c>
      <c r="W159" s="4">
        <v>30</v>
      </c>
      <c r="X159" s="1" t="s">
        <v>23</v>
      </c>
      <c r="Y159" s="1" t="s">
        <v>945</v>
      </c>
      <c r="Z159" s="3">
        <v>45090.125381944446</v>
      </c>
      <c r="AA159" s="2" t="s">
        <v>944</v>
      </c>
      <c r="AB159" s="1" t="s">
        <v>943</v>
      </c>
    </row>
    <row r="160" spans="1:28">
      <c r="A160" s="4">
        <v>158</v>
      </c>
      <c r="B160" s="1" t="s">
        <v>942</v>
      </c>
      <c r="C160" s="1" t="s">
        <v>942</v>
      </c>
      <c r="D160" s="5" t="s">
        <v>941</v>
      </c>
      <c r="E160" s="1" t="s">
        <v>940</v>
      </c>
      <c r="F160" s="1" t="s">
        <v>939</v>
      </c>
      <c r="G160" s="10"/>
      <c r="H160" s="10" t="str">
        <f>IF(Q160&lt;100000,"1.마이크로-10만명 미만","2.메가-10만명 이상")</f>
        <v>1.마이크로-10만명 미만</v>
      </c>
      <c r="I160" s="10" t="str">
        <f ca="1">IFERROR(__xludf.DUMMYFUNCTION("iferror(REGEXEXTRACT(E160,""[a-zA-Z0-9._%+-]+@[a-zA-Z0-9.-]+\.[a-zA-Z]{2,}""),""2.이메일 없음"")"),"2.이메일 없음")</f>
        <v>2.이메일 없음</v>
      </c>
      <c r="J160" s="10">
        <f>IFERROR((S160+T160+U160)/V160,"")</f>
        <v>3.3964532611962729E-2</v>
      </c>
      <c r="K160" s="9">
        <f>IFERROR(U160/V160,"")</f>
        <v>1.5028554253080854E-3</v>
      </c>
      <c r="L160" s="8">
        <f>IFERROR(MIN(Q160/1000*1.5, 150),"")</f>
        <v>94.5</v>
      </c>
      <c r="M160" s="7">
        <f>IFERROR(V160/Q160,"")</f>
        <v>0.15842857142857142</v>
      </c>
      <c r="N160" s="6">
        <f>IFERROR((S160+U160)/Q160,"")</f>
        <v>5.3492063492063492E-3</v>
      </c>
      <c r="O160" s="6">
        <f>IFERROR(100/(L160+1),"")</f>
        <v>1.0471204188481675</v>
      </c>
      <c r="P160" s="5" t="s">
        <v>938</v>
      </c>
      <c r="Q160" s="4">
        <v>63000</v>
      </c>
      <c r="R160" s="4">
        <v>837</v>
      </c>
      <c r="S160" s="4">
        <v>322</v>
      </c>
      <c r="T160" s="4">
        <v>2</v>
      </c>
      <c r="U160" s="4">
        <v>15</v>
      </c>
      <c r="V160" s="4">
        <v>9981</v>
      </c>
      <c r="W160" s="4">
        <v>15</v>
      </c>
      <c r="X160" s="1" t="s">
        <v>937</v>
      </c>
      <c r="Y160" s="1" t="s">
        <v>936</v>
      </c>
      <c r="Z160" s="3">
        <v>45869.14571759259</v>
      </c>
      <c r="AA160" s="2" t="s">
        <v>935</v>
      </c>
      <c r="AB160" s="1" t="s">
        <v>934</v>
      </c>
    </row>
    <row r="161" spans="1:28">
      <c r="A161" s="4">
        <v>159</v>
      </c>
      <c r="B161" s="1" t="s">
        <v>933</v>
      </c>
      <c r="C161" s="1" t="s">
        <v>933</v>
      </c>
      <c r="D161" s="5" t="s">
        <v>932</v>
      </c>
      <c r="E161" s="1" t="s">
        <v>931</v>
      </c>
      <c r="F161" s="1" t="s">
        <v>930</v>
      </c>
      <c r="G161" s="10"/>
      <c r="H161" s="10" t="str">
        <f>IF(Q161&lt;100000,"1.마이크로-10만명 미만","2.메가-10만명 이상")</f>
        <v>1.마이크로-10만명 미만</v>
      </c>
      <c r="I161" s="10" t="str">
        <f ca="1">IFERROR(__xludf.DUMMYFUNCTION("iferror(REGEXEXTRACT(E161,""[a-zA-Z0-9._%+-]+@[a-zA-Z0-9.-]+\.[a-zA-Z]{2,}""),""2.이메일 없음"")"),"asiaboonex@gmail.com")</f>
        <v>asiaboonex@gmail.com</v>
      </c>
      <c r="J161" s="10">
        <f>IFERROR((S161+T161+U161)/V161,"")</f>
        <v>0.19770520741394529</v>
      </c>
      <c r="K161" s="9">
        <f>IFERROR(U161/V161,"")</f>
        <v>1.2356575463371581E-2</v>
      </c>
      <c r="L161" s="8">
        <f>IFERROR(MIN(Q161/1000*1.5, 150),"")</f>
        <v>14.6685</v>
      </c>
      <c r="M161" s="7">
        <f>IFERROR(V161/Q161,"")</f>
        <v>0.11586051743532058</v>
      </c>
      <c r="N161" s="6">
        <f>IFERROR((S161+U161)/Q161,"")</f>
        <v>2.2190408017179669E-2</v>
      </c>
      <c r="O161" s="6">
        <f>IFERROR(100/(L161+1),"")</f>
        <v>6.3822318664837097</v>
      </c>
      <c r="P161" s="5" t="s">
        <v>929</v>
      </c>
      <c r="Q161" s="4">
        <v>9779</v>
      </c>
      <c r="R161" s="4">
        <v>181</v>
      </c>
      <c r="S161" s="4">
        <v>203</v>
      </c>
      <c r="T161" s="4">
        <v>7</v>
      </c>
      <c r="U161" s="4">
        <v>14</v>
      </c>
      <c r="V161" s="4">
        <v>1133</v>
      </c>
      <c r="W161" s="4">
        <v>12</v>
      </c>
      <c r="X161" s="1" t="s">
        <v>23</v>
      </c>
      <c r="Y161" s="1" t="s">
        <v>928</v>
      </c>
      <c r="Z161" s="3">
        <v>45910.240231481483</v>
      </c>
      <c r="AA161" s="2" t="s">
        <v>927</v>
      </c>
      <c r="AB161" s="1" t="s">
        <v>926</v>
      </c>
    </row>
    <row r="162" spans="1:28">
      <c r="A162" s="4">
        <v>160</v>
      </c>
      <c r="B162" s="1" t="s">
        <v>925</v>
      </c>
      <c r="C162" s="1" t="s">
        <v>920</v>
      </c>
      <c r="D162" s="5" t="s">
        <v>924</v>
      </c>
      <c r="E162" s="1" t="s">
        <v>923</v>
      </c>
      <c r="F162" s="1" t="s">
        <v>922</v>
      </c>
      <c r="G162" s="10"/>
      <c r="H162" s="10" t="str">
        <f>IF(Q162&lt;100000,"1.마이크로-10만명 미만","2.메가-10만명 이상")</f>
        <v>1.마이크로-10만명 미만</v>
      </c>
      <c r="I162" s="10" t="str">
        <f ca="1">IFERROR(__xludf.DUMMYFUNCTION("iferror(REGEXEXTRACT(E162,""[a-zA-Z0-9._%+-]+@[a-zA-Z0-9.-]+\.[a-zA-Z]{2,}""),""2.이메일 없음"")"),"lily@barefaced.media")</f>
        <v>lily@barefaced.media</v>
      </c>
      <c r="J162" s="10">
        <f>IFERROR((S162+T162+U162)/V162,"")</f>
        <v>0.14784313725490197</v>
      </c>
      <c r="K162" s="9">
        <f>IFERROR(U162/V162,"")</f>
        <v>1.5032679738562092E-3</v>
      </c>
      <c r="L162" s="8">
        <f>IFERROR(MIN(Q162/1000*1.5, 150),"")</f>
        <v>61.650000000000006</v>
      </c>
      <c r="M162" s="7">
        <f>IFERROR(V162/Q162,"")</f>
        <v>0.37226277372262773</v>
      </c>
      <c r="N162" s="6">
        <f>IFERROR((S162+U162)/Q162,"")</f>
        <v>5.4184914841849147E-2</v>
      </c>
      <c r="O162" s="6">
        <f>IFERROR(100/(L162+1),"")</f>
        <v>1.596169193934557</v>
      </c>
      <c r="P162" s="5" t="s">
        <v>921</v>
      </c>
      <c r="Q162" s="4">
        <v>41100</v>
      </c>
      <c r="R162" s="4">
        <v>489</v>
      </c>
      <c r="S162" s="4">
        <v>2204</v>
      </c>
      <c r="T162" s="4">
        <v>35</v>
      </c>
      <c r="U162" s="4">
        <v>23</v>
      </c>
      <c r="V162" s="4">
        <v>15300</v>
      </c>
      <c r="W162" s="4">
        <v>104</v>
      </c>
      <c r="X162" s="1" t="s">
        <v>23</v>
      </c>
      <c r="Y162" s="1" t="s">
        <v>920</v>
      </c>
      <c r="Z162" s="3">
        <v>45868.807592592595</v>
      </c>
      <c r="AA162" s="2" t="s">
        <v>919</v>
      </c>
      <c r="AB162" s="1" t="s">
        <v>918</v>
      </c>
    </row>
    <row r="163" spans="1:28">
      <c r="A163" s="4">
        <v>161</v>
      </c>
      <c r="B163" s="1" t="s">
        <v>917</v>
      </c>
      <c r="C163" s="1" t="s">
        <v>912</v>
      </c>
      <c r="D163" s="5" t="s">
        <v>916</v>
      </c>
      <c r="E163" s="1" t="s">
        <v>915</v>
      </c>
      <c r="F163" s="1" t="s">
        <v>914</v>
      </c>
      <c r="G163" s="10"/>
      <c r="H163" s="10" t="str">
        <f>IF(Q163&lt;100000,"1.마이크로-10만명 미만","2.메가-10만명 이상")</f>
        <v>2.메가-10만명 이상</v>
      </c>
      <c r="I163" s="10" t="str">
        <f ca="1">IFERROR(__xludf.DUMMYFUNCTION("iferror(REGEXEXTRACT(E163,""[a-zA-Z0-9._%+-]+@[a-zA-Z0-9.-]+\.[a-zA-Z]{2,}""),""2.이메일 없음"")"),"idagiancolabusiness@gmail.com")</f>
        <v>idagiancolabusiness@gmail.com</v>
      </c>
      <c r="J163" s="10">
        <f>IFERROR((S163+T163+U163)/V163,"")</f>
        <v>1.3930300096805421E-2</v>
      </c>
      <c r="K163" s="9">
        <f>IFERROR(U163/V163,"")</f>
        <v>2.6137463697967087E-4</v>
      </c>
      <c r="L163" s="8">
        <f>IFERROR(MIN(Q163/1000*1.5, 150),"")</f>
        <v>150</v>
      </c>
      <c r="M163" s="7">
        <f>IFERROR(V163/Q163,"")</f>
        <v>0.75566934893928306</v>
      </c>
      <c r="N163" s="6">
        <f>IFERROR((S163+U163)/Q163,"")</f>
        <v>1.0073152889539137E-2</v>
      </c>
      <c r="O163" s="6">
        <f>IFERROR(100/(L163+1),"")</f>
        <v>0.66225165562913912</v>
      </c>
      <c r="P163" s="5" t="s">
        <v>913</v>
      </c>
      <c r="Q163" s="4">
        <v>136700</v>
      </c>
      <c r="R163" s="4">
        <v>1397</v>
      </c>
      <c r="S163" s="4">
        <v>1350</v>
      </c>
      <c r="T163" s="4">
        <v>62</v>
      </c>
      <c r="U163" s="4">
        <v>27</v>
      </c>
      <c r="V163" s="4">
        <v>103300</v>
      </c>
      <c r="W163" s="4">
        <v>24</v>
      </c>
      <c r="X163" s="1" t="s">
        <v>23</v>
      </c>
      <c r="Y163" s="1" t="s">
        <v>912</v>
      </c>
      <c r="Z163" s="3">
        <v>45195.044236111113</v>
      </c>
      <c r="AA163" s="2" t="s">
        <v>911</v>
      </c>
      <c r="AB163" s="1" t="s">
        <v>910</v>
      </c>
    </row>
    <row r="164" spans="1:28">
      <c r="A164" s="4">
        <v>162</v>
      </c>
      <c r="B164" s="1" t="s">
        <v>909</v>
      </c>
      <c r="C164" s="1" t="s">
        <v>904</v>
      </c>
      <c r="D164" s="5" t="s">
        <v>908</v>
      </c>
      <c r="E164" s="1" t="s">
        <v>907</v>
      </c>
      <c r="F164" s="1" t="s">
        <v>906</v>
      </c>
      <c r="G164" s="10"/>
      <c r="H164" s="10" t="str">
        <f>IF(Q164&lt;100000,"1.마이크로-10만명 미만","2.메가-10만명 이상")</f>
        <v>2.메가-10만명 이상</v>
      </c>
      <c r="I164" s="10" t="str">
        <f ca="1">IFERROR(__xludf.DUMMYFUNCTION("iferror(REGEXEXTRACT(E164,""[a-zA-Z0-9._%+-]+@[a-zA-Z0-9.-]+\.[a-zA-Z]{2,}""),""2.이메일 없음"")"),"kaigibsonxx@gmail.com")</f>
        <v>kaigibsonxx@gmail.com</v>
      </c>
      <c r="J164" s="10">
        <f>IFERROR((S164+T164+U164)/V164,"")</f>
        <v>0.11629246676514032</v>
      </c>
      <c r="K164" s="9">
        <f>IFERROR(U164/V164,"")</f>
        <v>3.5450516986706054E-4</v>
      </c>
      <c r="L164" s="8">
        <f>IFERROR(MIN(Q164/1000*1.5, 150),"")</f>
        <v>150</v>
      </c>
      <c r="M164" s="7">
        <f>IFERROR(V164/Q164,"")</f>
        <v>0.4618008185538881</v>
      </c>
      <c r="N164" s="6">
        <f>IFERROR((S164+U164)/Q164,"")</f>
        <v>5.3130968622100955E-2</v>
      </c>
      <c r="O164" s="6">
        <f>IFERROR(100/(L164+1),"")</f>
        <v>0.66225165562913912</v>
      </c>
      <c r="P164" s="5" t="s">
        <v>905</v>
      </c>
      <c r="Q164" s="4">
        <v>146600</v>
      </c>
      <c r="R164" s="4">
        <v>2638</v>
      </c>
      <c r="S164" s="4">
        <v>7765</v>
      </c>
      <c r="T164" s="4">
        <v>84</v>
      </c>
      <c r="U164" s="4">
        <v>24</v>
      </c>
      <c r="V164" s="4">
        <v>67700</v>
      </c>
      <c r="W164" s="4">
        <v>578</v>
      </c>
      <c r="X164" s="1" t="s">
        <v>23</v>
      </c>
      <c r="Y164" s="1" t="s">
        <v>904</v>
      </c>
      <c r="Z164" s="3">
        <v>45881.157164351855</v>
      </c>
      <c r="AA164" s="2" t="s">
        <v>903</v>
      </c>
      <c r="AB164" s="1" t="s">
        <v>902</v>
      </c>
    </row>
    <row r="165" spans="1:28">
      <c r="A165" s="4">
        <v>163</v>
      </c>
      <c r="B165" s="1" t="s">
        <v>901</v>
      </c>
      <c r="C165" s="1" t="s">
        <v>901</v>
      </c>
      <c r="D165" s="5" t="s">
        <v>900</v>
      </c>
      <c r="E165" s="1" t="s">
        <v>899</v>
      </c>
      <c r="F165" s="1" t="s">
        <v>898</v>
      </c>
      <c r="G165" s="10"/>
      <c r="H165" s="10" t="str">
        <f>IF(Q165&lt;100000,"1.마이크로-10만명 미만","2.메가-10만명 이상")</f>
        <v>1.마이크로-10만명 미만</v>
      </c>
      <c r="I165" s="10" t="str">
        <f ca="1">IFERROR(__xludf.DUMMYFUNCTION("iferror(REGEXEXTRACT(E165,""[a-zA-Z0-9._%+-]+@[a-zA-Z0-9.-]+\.[a-zA-Z]{2,}""),""2.이메일 없음"")"),"josieewingmedia@gmail.com")</f>
        <v>josieewingmedia@gmail.com</v>
      </c>
      <c r="J165" s="10">
        <f>IFERROR((S165+T165+U165)/V165,"")</f>
        <v>8.0686695278969957E-3</v>
      </c>
      <c r="K165" s="9">
        <f>IFERROR(U165/V165,"")</f>
        <v>2.1459227467811158E-4</v>
      </c>
      <c r="L165" s="8">
        <f>IFERROR(MIN(Q165/1000*1.5, 150),"")</f>
        <v>30.450000000000003</v>
      </c>
      <c r="M165" s="7">
        <f>IFERROR(V165/Q165,"")</f>
        <v>1.1477832512315271</v>
      </c>
      <c r="N165" s="6">
        <f>IFERROR((S165+U165)/Q165,"")</f>
        <v>9.0640394088669952E-3</v>
      </c>
      <c r="O165" s="6">
        <f>IFERROR(100/(L165+1),"")</f>
        <v>3.1796502384737675</v>
      </c>
      <c r="P165" s="5" t="s">
        <v>897</v>
      </c>
      <c r="Q165" s="4">
        <v>20300</v>
      </c>
      <c r="R165" s="4">
        <v>523</v>
      </c>
      <c r="S165" s="4">
        <v>179</v>
      </c>
      <c r="T165" s="4">
        <v>4</v>
      </c>
      <c r="U165" s="4">
        <v>5</v>
      </c>
      <c r="V165" s="4">
        <v>23300</v>
      </c>
      <c r="W165" s="4">
        <v>7</v>
      </c>
      <c r="X165" s="1" t="s">
        <v>896</v>
      </c>
      <c r="Y165" s="1" t="s">
        <v>895</v>
      </c>
      <c r="Z165" s="3">
        <v>45868.480150462965</v>
      </c>
      <c r="AA165" s="2" t="s">
        <v>894</v>
      </c>
      <c r="AB165" s="1" t="s">
        <v>893</v>
      </c>
    </row>
    <row r="166" spans="1:28">
      <c r="A166" s="4">
        <v>164</v>
      </c>
      <c r="B166" s="1" t="s">
        <v>892</v>
      </c>
      <c r="C166" s="15" t="s">
        <v>891</v>
      </c>
      <c r="D166" s="5" t="s">
        <v>890</v>
      </c>
      <c r="E166" s="1" t="s">
        <v>889</v>
      </c>
      <c r="F166" s="1" t="s">
        <v>888</v>
      </c>
      <c r="G166" s="10"/>
      <c r="H166" s="10" t="str">
        <f>IF(Q166&lt;100000,"1.마이크로-10만명 미만","2.메가-10만명 이상")</f>
        <v>2.메가-10만명 이상</v>
      </c>
      <c r="I166" s="10" t="str">
        <f ca="1">IFERROR(__xludf.DUMMYFUNCTION("iferror(REGEXEXTRACT(E166,""[a-zA-Z0-9._%+-]+@[a-zA-Z0-9.-]+\.[a-zA-Z]{2,}""),""2.이메일 없음"")"),"Alkadrylena111@gmail.com")</f>
        <v>Alkadrylena111@gmail.com</v>
      </c>
      <c r="J166" s="10">
        <f>IFERROR((S166+T166+U166)/V166,"")</f>
        <v>0.17080663543117638</v>
      </c>
      <c r="K166" s="9">
        <f>IFERROR(U166/V166,"")</f>
        <v>2.3553248068886918E-4</v>
      </c>
      <c r="L166" s="8">
        <f>IFERROR(MIN(Q166/1000*1.5, 150),"")</f>
        <v>150</v>
      </c>
      <c r="M166" s="7">
        <f>IFERROR(V166/Q166,"")</f>
        <v>1.6162505116659844</v>
      </c>
      <c r="N166" s="6">
        <f>IFERROR((S166+U166)/Q166,"")</f>
        <v>0.23595169873106836</v>
      </c>
      <c r="O166" s="6">
        <f>IFERROR(100/(L166+1),"")</f>
        <v>0.66225165562913912</v>
      </c>
      <c r="P166" s="5" t="s">
        <v>887</v>
      </c>
      <c r="Q166" s="4">
        <v>488600</v>
      </c>
      <c r="R166" s="4">
        <v>1303</v>
      </c>
      <c r="S166" s="4">
        <v>115100</v>
      </c>
      <c r="T166" s="4">
        <v>19600</v>
      </c>
      <c r="U166" s="4">
        <v>186</v>
      </c>
      <c r="V166" s="4">
        <v>789700</v>
      </c>
      <c r="W166" s="4">
        <v>8</v>
      </c>
      <c r="X166" s="1" t="s">
        <v>886</v>
      </c>
      <c r="Y166" s="1" t="s">
        <v>885</v>
      </c>
      <c r="Z166" s="3">
        <v>45780.400312500002</v>
      </c>
      <c r="AA166" s="2" t="s">
        <v>884</v>
      </c>
      <c r="AB166" s="1" t="s">
        <v>883</v>
      </c>
    </row>
    <row r="167" spans="1:28">
      <c r="A167" s="4">
        <v>165</v>
      </c>
      <c r="B167" s="1" t="s">
        <v>882</v>
      </c>
      <c r="C167" s="1" t="s">
        <v>881</v>
      </c>
      <c r="D167" s="5" t="s">
        <v>880</v>
      </c>
      <c r="E167" s="3"/>
      <c r="F167" s="1" t="s">
        <v>879</v>
      </c>
      <c r="G167" s="10"/>
      <c r="H167" s="10" t="str">
        <f>IF(Q167&lt;100000,"1.마이크로-10만명 미만","2.메가-10만명 이상")</f>
        <v>1.마이크로-10만명 미만</v>
      </c>
      <c r="I167" s="10" t="str">
        <f ca="1">IFERROR(__xludf.DUMMYFUNCTION("iferror(REGEXEXTRACT(E167,""[a-zA-Z0-9._%+-]+@[a-zA-Z0-9.-]+\.[a-zA-Z]{2,}""),""2.이메일 없음"")"),"2.이메일 없음")</f>
        <v>2.이메일 없음</v>
      </c>
      <c r="J167" s="10">
        <f>IFERROR((S167+T167+U167)/V167,"")</f>
        <v>3.8230717937319407E-2</v>
      </c>
      <c r="K167" s="9">
        <f>IFERROR(U167/V167,"")</f>
        <v>4.4454323182929539E-4</v>
      </c>
      <c r="L167" s="8">
        <f>IFERROR(MIN(Q167/1000*1.5, 150),"")</f>
        <v>0.24149999999999999</v>
      </c>
      <c r="M167" s="7">
        <f>IFERROR(V167/Q167,"")</f>
        <v>27.944099378881987</v>
      </c>
      <c r="N167" s="6">
        <f>IFERROR((S167+U167)/Q167,"")</f>
        <v>0.98757763975155277</v>
      </c>
      <c r="O167" s="6">
        <f>IFERROR(100/(L167+1),"")</f>
        <v>80.547724526782119</v>
      </c>
      <c r="P167" s="5" t="s">
        <v>878</v>
      </c>
      <c r="Q167" s="4">
        <v>161</v>
      </c>
      <c r="R167" s="4">
        <v>120</v>
      </c>
      <c r="S167" s="4">
        <v>157</v>
      </c>
      <c r="T167" s="4">
        <v>13</v>
      </c>
      <c r="U167" s="4">
        <v>2</v>
      </c>
      <c r="V167" s="4">
        <v>4499</v>
      </c>
      <c r="W167" s="4">
        <v>15</v>
      </c>
      <c r="X167" s="1" t="s">
        <v>240</v>
      </c>
      <c r="Y167" s="1" t="s">
        <v>877</v>
      </c>
      <c r="Z167" s="3">
        <v>45867.471712962964</v>
      </c>
      <c r="AA167" s="2" t="s">
        <v>876</v>
      </c>
      <c r="AB167" s="1" t="s">
        <v>875</v>
      </c>
    </row>
    <row r="168" spans="1:28">
      <c r="A168" s="4">
        <v>166</v>
      </c>
      <c r="B168" s="1" t="s">
        <v>874</v>
      </c>
      <c r="C168" s="1" t="s">
        <v>869</v>
      </c>
      <c r="D168" s="5" t="s">
        <v>873</v>
      </c>
      <c r="E168" s="1" t="s">
        <v>872</v>
      </c>
      <c r="F168" s="1" t="s">
        <v>871</v>
      </c>
      <c r="G168" s="10"/>
      <c r="H168" s="10" t="str">
        <f>IF(Q168&lt;100000,"1.마이크로-10만명 미만","2.메가-10만명 이상")</f>
        <v>2.메가-10만명 이상</v>
      </c>
      <c r="I168" s="10" t="str">
        <f ca="1">IFERROR(__xludf.DUMMYFUNCTION("iferror(REGEXEXTRACT(E168,""[a-zA-Z0-9._%+-]+@[a-zA-Z0-9.-]+\.[a-zA-Z]{2,}""),""2.이메일 없음"")"),"chris@crosscheckstudios.com")</f>
        <v>chris@crosscheckstudios.com</v>
      </c>
      <c r="J168" s="10">
        <f>IFERROR((S168+T168+U168)/V168,"")</f>
        <v>4.6579285714285712E-2</v>
      </c>
      <c r="K168" s="9">
        <f>IFERROR(U168/V168,"")</f>
        <v>6.3571428571428568E-5</v>
      </c>
      <c r="L168" s="8">
        <f>IFERROR(MIN(Q168/1000*1.5, 150),"")</f>
        <v>150</v>
      </c>
      <c r="M168" s="7">
        <f>IFERROR(V168/Q168,"")</f>
        <v>0.36842105263157893</v>
      </c>
      <c r="N168" s="6">
        <f>IFERROR((S168+U168)/Q168,"")</f>
        <v>1.6760263157894736E-2</v>
      </c>
      <c r="O168" s="6">
        <f>IFERROR(100/(L168+1),"")</f>
        <v>0.66225165562913912</v>
      </c>
      <c r="P168" s="5" t="s">
        <v>870</v>
      </c>
      <c r="Q168" s="4">
        <v>11400000</v>
      </c>
      <c r="R168" s="4">
        <v>1250</v>
      </c>
      <c r="S168" s="4">
        <v>190800</v>
      </c>
      <c r="T168" s="4">
        <v>4566</v>
      </c>
      <c r="U168" s="4">
        <v>267</v>
      </c>
      <c r="V168" s="4">
        <v>4200000</v>
      </c>
      <c r="W168" s="4">
        <v>70</v>
      </c>
      <c r="X168" s="1" t="s">
        <v>23</v>
      </c>
      <c r="Y168" s="1" t="s">
        <v>869</v>
      </c>
      <c r="Z168" s="3">
        <v>45400.285439814812</v>
      </c>
      <c r="AA168" s="2" t="s">
        <v>868</v>
      </c>
      <c r="AB168" s="1" t="s">
        <v>867</v>
      </c>
    </row>
    <row r="169" spans="1:28">
      <c r="A169" s="4">
        <v>167</v>
      </c>
      <c r="B169" s="1" t="s">
        <v>866</v>
      </c>
      <c r="C169" s="1" t="s">
        <v>861</v>
      </c>
      <c r="D169" s="5" t="s">
        <v>865</v>
      </c>
      <c r="E169" s="1" t="s">
        <v>864</v>
      </c>
      <c r="F169" s="1" t="s">
        <v>863</v>
      </c>
      <c r="G169" s="10"/>
      <c r="H169" s="10" t="str">
        <f>IF(Q169&lt;100000,"1.마이크로-10만명 미만","2.메가-10만명 이상")</f>
        <v>2.메가-10만명 이상</v>
      </c>
      <c r="I169" s="10" t="str">
        <f ca="1">IFERROR(__xludf.DUMMYFUNCTION("iferror(REGEXEXTRACT(E169,""[a-zA-Z0-9._%+-]+@[a-zA-Z0-9.-]+\.[a-zA-Z]{2,}""),""2.이메일 없음"")"),"francesca@alletragenmasken.de")</f>
        <v>francesca@alletragenmasken.de</v>
      </c>
      <c r="J169" s="10">
        <f>IFERROR((S169+T169+U169)/V169,"")</f>
        <v>6.7988461538461539E-2</v>
      </c>
      <c r="K169" s="9">
        <f>IFERROR(U169/V169,"")</f>
        <v>3.3307692307692308E-4</v>
      </c>
      <c r="L169" s="8">
        <f>IFERROR(MIN(Q169/1000*1.5, 150),"")</f>
        <v>150</v>
      </c>
      <c r="M169" s="7">
        <f>IFERROR(V169/Q169,"")</f>
        <v>2.2534234702721441</v>
      </c>
      <c r="N169" s="6">
        <f>IFERROR((S169+U169)/Q169,"")</f>
        <v>0.13734269370774832</v>
      </c>
      <c r="O169" s="6">
        <f>IFERROR(100/(L169+1),"")</f>
        <v>0.66225165562913912</v>
      </c>
      <c r="P169" s="5" t="s">
        <v>862</v>
      </c>
      <c r="Q169" s="4">
        <v>576900</v>
      </c>
      <c r="R169" s="4">
        <v>731</v>
      </c>
      <c r="S169" s="4">
        <v>78800</v>
      </c>
      <c r="T169" s="4">
        <v>9152</v>
      </c>
      <c r="U169" s="4">
        <v>433</v>
      </c>
      <c r="V169" s="4">
        <v>1300000</v>
      </c>
      <c r="W169" s="4">
        <v>38</v>
      </c>
      <c r="X169" s="1" t="s">
        <v>240</v>
      </c>
      <c r="Y169" s="1" t="s">
        <v>861</v>
      </c>
      <c r="Z169" s="3">
        <v>45625.957268518519</v>
      </c>
      <c r="AA169" s="2" t="s">
        <v>860</v>
      </c>
      <c r="AB169" s="1" t="s">
        <v>859</v>
      </c>
    </row>
    <row r="170" spans="1:28">
      <c r="A170" s="4">
        <v>168</v>
      </c>
      <c r="B170" s="1" t="s">
        <v>858</v>
      </c>
      <c r="C170" s="1" t="s">
        <v>857</v>
      </c>
      <c r="D170" s="5" t="s">
        <v>856</v>
      </c>
      <c r="E170" s="1" t="s">
        <v>855</v>
      </c>
      <c r="F170" s="1"/>
      <c r="G170" s="10"/>
      <c r="H170" s="10" t="str">
        <f>IF(Q170&lt;100000,"1.마이크로-10만명 미만","2.메가-10만명 이상")</f>
        <v>1.마이크로-10만명 미만</v>
      </c>
      <c r="I170" s="10" t="str">
        <f ca="1">IFERROR(__xludf.DUMMYFUNCTION("iferror(REGEXEXTRACT(E170,""[a-zA-Z0-9._%+-]+@[a-zA-Z0-9.-]+\.[a-zA-Z]{2,}""),""2.이메일 없음"")"),"booking@julialaurina.de")</f>
        <v>booking@julialaurina.de</v>
      </c>
      <c r="J170" s="10">
        <f>IFERROR((S170+T170+U170)/V170,"")</f>
        <v>9.1066666666666674E-3</v>
      </c>
      <c r="K170" s="9">
        <f>IFERROR(U170/V170,"")</f>
        <v>5.6666666666666664E-5</v>
      </c>
      <c r="L170" s="8">
        <f>IFERROR(MIN(Q170/1000*1.5, 150),"")</f>
        <v>32.700000000000003</v>
      </c>
      <c r="M170" s="7">
        <f>IFERROR(V170/Q170,"")</f>
        <v>96.330275229357795</v>
      </c>
      <c r="N170" s="6">
        <f>IFERROR((S170+U170)/Q170,"")</f>
        <v>0.83573394495412845</v>
      </c>
      <c r="O170" s="6">
        <f>IFERROR(100/(L170+1),"")</f>
        <v>2.9673590504451037</v>
      </c>
      <c r="P170" s="5" t="s">
        <v>854</v>
      </c>
      <c r="Q170" s="4">
        <v>21800</v>
      </c>
      <c r="R170" s="4">
        <v>413</v>
      </c>
      <c r="S170" s="4">
        <v>18100</v>
      </c>
      <c r="T170" s="4">
        <v>905</v>
      </c>
      <c r="U170" s="4">
        <v>119</v>
      </c>
      <c r="V170" s="4">
        <v>2100000</v>
      </c>
      <c r="W170" s="4">
        <v>6</v>
      </c>
      <c r="X170" s="1" t="s">
        <v>853</v>
      </c>
      <c r="Y170" s="1" t="s">
        <v>852</v>
      </c>
      <c r="Z170" s="3">
        <v>45682.838136574072</v>
      </c>
      <c r="AA170" s="2" t="s">
        <v>851</v>
      </c>
      <c r="AB170" s="1" t="s">
        <v>850</v>
      </c>
    </row>
    <row r="171" spans="1:28">
      <c r="A171" s="4">
        <v>169</v>
      </c>
      <c r="B171" s="1" t="s">
        <v>849</v>
      </c>
      <c r="C171" s="1" t="s">
        <v>848</v>
      </c>
      <c r="D171" s="5" t="s">
        <v>847</v>
      </c>
      <c r="E171" s="1" t="s">
        <v>846</v>
      </c>
      <c r="F171" s="1" t="s">
        <v>845</v>
      </c>
      <c r="G171" s="10"/>
      <c r="H171" s="10" t="str">
        <f>IF(Q171&lt;100000,"1.마이크로-10만명 미만","2.메가-10만명 이상")</f>
        <v>2.메가-10만명 이상</v>
      </c>
      <c r="I171" s="10" t="str">
        <f ca="1">IFERROR(__xludf.DUMMYFUNCTION("iferror(REGEXEXTRACT(E171,""[a-zA-Z0-9._%+-]+@[a-zA-Z0-9.-]+\.[a-zA-Z]{2,}""),""2.이메일 없음"")"),"nina@makersavenue.nl")</f>
        <v>nina@makersavenue.nl</v>
      </c>
      <c r="J171" s="10">
        <f>IFERROR((S171+T171+U171)/V171,"")</f>
        <v>3.8383636363636363E-2</v>
      </c>
      <c r="K171" s="9">
        <f>IFERROR(U171/V171,"")</f>
        <v>1.4272727272727272E-4</v>
      </c>
      <c r="L171" s="8">
        <f>IFERROR(MIN(Q171/1000*1.5, 150),"")</f>
        <v>150</v>
      </c>
      <c r="M171" s="7">
        <f>IFERROR(V171/Q171,"")</f>
        <v>1.1000000000000001</v>
      </c>
      <c r="N171" s="6">
        <f>IFERROR((S171+U171)/Q171,"")</f>
        <v>4.0557000000000003E-2</v>
      </c>
      <c r="O171" s="6">
        <f>IFERROR(100/(L171+1),"")</f>
        <v>0.66225165562913912</v>
      </c>
      <c r="P171" s="5" t="s">
        <v>844</v>
      </c>
      <c r="Q171" s="4">
        <v>1000000</v>
      </c>
      <c r="R171" s="4">
        <v>695</v>
      </c>
      <c r="S171" s="4">
        <v>40400</v>
      </c>
      <c r="T171" s="4">
        <v>1665</v>
      </c>
      <c r="U171" s="4">
        <v>157</v>
      </c>
      <c r="V171" s="4">
        <v>1100000</v>
      </c>
      <c r="W171" s="4">
        <v>15</v>
      </c>
      <c r="X171" s="1" t="s">
        <v>843</v>
      </c>
      <c r="Y171" s="1" t="s">
        <v>842</v>
      </c>
      <c r="Z171" s="3">
        <v>45008.032951388886</v>
      </c>
      <c r="AA171" s="2" t="s">
        <v>841</v>
      </c>
      <c r="AB171" s="1">
        <v>9570827</v>
      </c>
    </row>
    <row r="172" spans="1:28">
      <c r="A172" s="4">
        <v>170</v>
      </c>
      <c r="B172" s="15" t="s">
        <v>840</v>
      </c>
      <c r="C172" s="1" t="s">
        <v>839</v>
      </c>
      <c r="D172" s="5" t="s">
        <v>838</v>
      </c>
      <c r="E172" s="1" t="s">
        <v>837</v>
      </c>
      <c r="F172" s="1" t="s">
        <v>836</v>
      </c>
      <c r="G172" s="10"/>
      <c r="H172" s="10" t="str">
        <f>IF(Q172&lt;100000,"1.마이크로-10만명 미만","2.메가-10만명 이상")</f>
        <v>1.마이크로-10만명 미만</v>
      </c>
      <c r="I172" s="10" t="str">
        <f ca="1">IFERROR(__xludf.DUMMYFUNCTION("iferror(REGEXEXTRACT(E172,""[a-zA-Z0-9._%+-]+@[a-zA-Z0-9.-]+\.[a-zA-Z]{2,}""),""2.이메일 없음"")"),"faustacm3@gmail.com")</f>
        <v>faustacm3@gmail.com</v>
      </c>
      <c r="J172" s="10">
        <f>IFERROR((S172+T172+U172)/V172,"")</f>
        <v>5.2424455375966267E-2</v>
      </c>
      <c r="K172" s="9">
        <f>IFERROR(U172/V172,"")</f>
        <v>3.0920590302178498E-3</v>
      </c>
      <c r="L172" s="8">
        <f>IFERROR(MIN(Q172/1000*1.5, 150),"")</f>
        <v>28.799999999999997</v>
      </c>
      <c r="M172" s="7">
        <f>IFERROR(V172/Q172,"")</f>
        <v>0.37057291666666664</v>
      </c>
      <c r="N172" s="6">
        <f>IFERROR((S172+U172)/Q172,"")</f>
        <v>1.8802083333333334E-2</v>
      </c>
      <c r="O172" s="6">
        <f>IFERROR(100/(L172+1),"")</f>
        <v>3.3557046979865777</v>
      </c>
      <c r="P172" s="5" t="s">
        <v>835</v>
      </c>
      <c r="Q172" s="4">
        <v>19200</v>
      </c>
      <c r="R172" s="4">
        <v>66</v>
      </c>
      <c r="S172" s="4">
        <v>339</v>
      </c>
      <c r="T172" s="4">
        <v>12</v>
      </c>
      <c r="U172" s="4">
        <v>22</v>
      </c>
      <c r="V172" s="4">
        <v>7115</v>
      </c>
      <c r="W172" s="4">
        <v>11</v>
      </c>
      <c r="X172" s="1" t="s">
        <v>834</v>
      </c>
      <c r="Y172" s="1" t="s">
        <v>833</v>
      </c>
      <c r="Z172" s="3">
        <v>45738.015393518515</v>
      </c>
      <c r="AA172" s="2" t="s">
        <v>832</v>
      </c>
      <c r="AB172" s="1" t="s">
        <v>831</v>
      </c>
    </row>
    <row r="173" spans="1:28">
      <c r="A173" s="4">
        <v>171</v>
      </c>
      <c r="B173" s="1" t="s">
        <v>830</v>
      </c>
      <c r="C173" s="1" t="s">
        <v>829</v>
      </c>
      <c r="D173" s="5" t="s">
        <v>828</v>
      </c>
      <c r="E173" s="1" t="s">
        <v>827</v>
      </c>
      <c r="F173" s="1" t="s">
        <v>826</v>
      </c>
      <c r="G173" s="10"/>
      <c r="H173" s="10" t="str">
        <f>IF(Q173&lt;100000,"1.마이크로-10만명 미만","2.메가-10만명 이상")</f>
        <v>1.마이크로-10만명 미만</v>
      </c>
      <c r="I173" s="10" t="str">
        <f ca="1">IFERROR(__xludf.DUMMYFUNCTION("iferror(REGEXEXTRACT(E173,""[a-zA-Z0-9._%+-]+@[a-zA-Z0-9.-]+\.[a-zA-Z]{2,}""),""2.이메일 없음"")"),"2.이메일 없음")</f>
        <v>2.이메일 없음</v>
      </c>
      <c r="J173" s="10">
        <f>IFERROR((S173+T173+U173)/V173,"")</f>
        <v>9.812149304708466E-3</v>
      </c>
      <c r="K173" s="9">
        <f>IFERROR(U173/V173,"")</f>
        <v>5.4891436935838009E-5</v>
      </c>
      <c r="L173" s="8">
        <f>IFERROR(MIN(Q173/1000*1.5, 150),"")</f>
        <v>14.674499999999998</v>
      </c>
      <c r="M173" s="7">
        <f>IFERROR(V173/Q173,"")</f>
        <v>83.798425840744144</v>
      </c>
      <c r="N173" s="6">
        <f>IFERROR((S173+U173)/Q173,"")</f>
        <v>0.79525707860574468</v>
      </c>
      <c r="O173" s="6">
        <f>IFERROR(100/(L173+1),"")</f>
        <v>6.3797888289897609</v>
      </c>
      <c r="P173" s="5" t="s">
        <v>825</v>
      </c>
      <c r="Q173" s="4">
        <v>9783</v>
      </c>
      <c r="R173" s="4">
        <v>1174</v>
      </c>
      <c r="S173" s="4">
        <v>7735</v>
      </c>
      <c r="T173" s="4">
        <v>264</v>
      </c>
      <c r="U173" s="4">
        <v>45</v>
      </c>
      <c r="V173" s="4">
        <v>819800</v>
      </c>
      <c r="W173" s="4">
        <v>11</v>
      </c>
      <c r="X173" s="1" t="s">
        <v>824</v>
      </c>
      <c r="Y173" s="1" t="s">
        <v>823</v>
      </c>
      <c r="Z173" s="3">
        <v>45038.161770833336</v>
      </c>
      <c r="AA173" s="2" t="s">
        <v>822</v>
      </c>
      <c r="AB173" s="1" t="s">
        <v>821</v>
      </c>
    </row>
    <row r="174" spans="1:28">
      <c r="A174" s="4">
        <v>172</v>
      </c>
      <c r="B174" s="1" t="s">
        <v>820</v>
      </c>
      <c r="C174" s="1" t="s">
        <v>815</v>
      </c>
      <c r="D174" s="5" t="s">
        <v>819</v>
      </c>
      <c r="E174" s="1" t="s">
        <v>818</v>
      </c>
      <c r="F174" s="1" t="s">
        <v>817</v>
      </c>
      <c r="G174" s="10"/>
      <c r="H174" s="10" t="str">
        <f>IF(Q174&lt;100000,"1.마이크로-10만명 미만","2.메가-10만명 이상")</f>
        <v>1.마이크로-10만명 미만</v>
      </c>
      <c r="I174" s="10" t="str">
        <f ca="1">IFERROR(__xludf.DUMMYFUNCTION("iferror(REGEXEXTRACT(E174,""[a-zA-Z0-9._%+-]+@[a-zA-Z0-9.-]+\.[a-zA-Z]{2,}""),""2.이메일 없음"")"),"marytruong.connect@gmail.com")</f>
        <v>marytruong.connect@gmail.com</v>
      </c>
      <c r="J174" s="10">
        <f>IFERROR((S174+T174+U174)/V174,"")</f>
        <v>8.7794432548179875E-3</v>
      </c>
      <c r="K174" s="9">
        <f>IFERROR(U174/V174,"")</f>
        <v>1.4989293361884369E-4</v>
      </c>
      <c r="L174" s="8">
        <f>IFERROR(MIN(Q174/1000*1.5, 150),"")</f>
        <v>55.800000000000004</v>
      </c>
      <c r="M174" s="7">
        <f>IFERROR(V174/Q174,"")</f>
        <v>1.2553763440860215</v>
      </c>
      <c r="N174" s="6">
        <f>IFERROR((S174+U174)/Q174,"")</f>
        <v>9.8118279569892469E-3</v>
      </c>
      <c r="O174" s="6">
        <f>IFERROR(100/(L174+1),"")</f>
        <v>1.76056338028169</v>
      </c>
      <c r="P174" s="5" t="s">
        <v>816</v>
      </c>
      <c r="Q174" s="4">
        <v>37200</v>
      </c>
      <c r="R174" s="4">
        <v>92</v>
      </c>
      <c r="S174" s="4">
        <v>358</v>
      </c>
      <c r="T174" s="4">
        <v>45</v>
      </c>
      <c r="U174" s="4">
        <v>7</v>
      </c>
      <c r="V174" s="4">
        <v>46700</v>
      </c>
      <c r="W174" s="4">
        <v>72</v>
      </c>
      <c r="X174" s="1" t="s">
        <v>23</v>
      </c>
      <c r="Y174" s="1" t="s">
        <v>815</v>
      </c>
      <c r="Z174" s="3">
        <v>45543.267835648148</v>
      </c>
      <c r="AA174" s="2" t="s">
        <v>814</v>
      </c>
      <c r="AB174" s="1" t="s">
        <v>813</v>
      </c>
    </row>
    <row r="175" spans="1:28">
      <c r="A175" s="4">
        <v>173</v>
      </c>
      <c r="B175" s="1" t="s">
        <v>812</v>
      </c>
      <c r="C175" s="1" t="s">
        <v>812</v>
      </c>
      <c r="D175" s="5" t="s">
        <v>811</v>
      </c>
      <c r="E175" s="1" t="s">
        <v>810</v>
      </c>
      <c r="F175" s="1" t="s">
        <v>809</v>
      </c>
      <c r="G175" s="10"/>
      <c r="H175" s="10" t="str">
        <f>IF(Q175&lt;100000,"1.마이크로-10만명 미만","2.메가-10만명 이상")</f>
        <v>1.마이크로-10만명 미만</v>
      </c>
      <c r="I175" s="10" t="str">
        <f ca="1">IFERROR(__xludf.DUMMYFUNCTION("iferror(REGEXEXTRACT(E175,""[a-zA-Z0-9._%+-]+@[a-zA-Z0-9.-]+\.[a-zA-Z]{2,}""),""2.이메일 없음"")"),"Info@khkiddo.com")</f>
        <v>Info@khkiddo.com</v>
      </c>
      <c r="J175" s="10">
        <f>IFERROR((S175+T175+U175)/V175,"")</f>
        <v>2.3318385650224215E-2</v>
      </c>
      <c r="K175" s="9">
        <f>IFERROR(U175/V175,"")</f>
        <v>3.1390134529147982E-4</v>
      </c>
      <c r="L175" s="8">
        <f>IFERROR(MIN(Q175/1000*1.5, 150),"")</f>
        <v>71.699999999999989</v>
      </c>
      <c r="M175" s="7">
        <f>IFERROR(V175/Q175,"")</f>
        <v>0.46652719665271969</v>
      </c>
      <c r="N175" s="6">
        <f>IFERROR((S175+U175)/Q175,"")</f>
        <v>1.0523012552301255E-2</v>
      </c>
      <c r="O175" s="6">
        <f>IFERROR(100/(L175+1),"")</f>
        <v>1.3755158184319123</v>
      </c>
      <c r="P175" s="5" t="s">
        <v>808</v>
      </c>
      <c r="Q175" s="4">
        <v>47800</v>
      </c>
      <c r="R175" s="4">
        <v>168</v>
      </c>
      <c r="S175" s="4">
        <v>496</v>
      </c>
      <c r="T175" s="4">
        <v>17</v>
      </c>
      <c r="U175" s="4">
        <v>7</v>
      </c>
      <c r="V175" s="4">
        <v>22300</v>
      </c>
      <c r="W175" s="4">
        <v>15</v>
      </c>
      <c r="X175" s="1" t="s">
        <v>310</v>
      </c>
      <c r="Y175" s="1" t="s">
        <v>309</v>
      </c>
      <c r="Z175" s="3">
        <v>45848.230543981481</v>
      </c>
      <c r="AA175" s="2" t="s">
        <v>807</v>
      </c>
      <c r="AB175" s="1" t="s">
        <v>806</v>
      </c>
    </row>
    <row r="176" spans="1:28">
      <c r="A176" s="4">
        <v>174</v>
      </c>
      <c r="B176" s="1" t="s">
        <v>805</v>
      </c>
      <c r="C176" s="1" t="s">
        <v>800</v>
      </c>
      <c r="D176" s="5" t="s">
        <v>804</v>
      </c>
      <c r="E176" s="1" t="s">
        <v>803</v>
      </c>
      <c r="F176" s="1" t="s">
        <v>802</v>
      </c>
      <c r="G176" s="10"/>
      <c r="H176" s="10" t="str">
        <f>IF(Q176&lt;100000,"1.마이크로-10만명 미만","2.메가-10만명 이상")</f>
        <v>1.마이크로-10만명 미만</v>
      </c>
      <c r="I176" s="10" t="str">
        <f ca="1">IFERROR(__xludf.DUMMYFUNCTION("iferror(REGEXEXTRACT(E176,""[a-zA-Z0-9._%+-]+@[a-zA-Z0-9.-]+\.[a-zA-Z]{2,}""),""2.이메일 없음"")"),"allanahpr@gmail.com")</f>
        <v>allanahpr@gmail.com</v>
      </c>
      <c r="J176" s="10">
        <f>IFERROR((S176+T176+U176)/V176,"")</f>
        <v>4.0337711069418386E-2</v>
      </c>
      <c r="K176" s="9">
        <f>IFERROR(U176/V176,"")</f>
        <v>2.8142589118198874E-3</v>
      </c>
      <c r="L176" s="8">
        <f>IFERROR(MIN(Q176/1000*1.5, 150),"")</f>
        <v>19.950000000000003</v>
      </c>
      <c r="M176" s="7">
        <f>IFERROR(V176/Q176,"")</f>
        <v>0.16030075187969925</v>
      </c>
      <c r="N176" s="6">
        <f>IFERROR((S176+U176)/Q176,"")</f>
        <v>6.0902255639097742E-3</v>
      </c>
      <c r="O176" s="6">
        <f>IFERROR(100/(L176+1),"")</f>
        <v>4.7732696897374698</v>
      </c>
      <c r="P176" s="5" t="s">
        <v>801</v>
      </c>
      <c r="Q176" s="4">
        <v>13300</v>
      </c>
      <c r="R176" s="4">
        <v>1839</v>
      </c>
      <c r="S176" s="4">
        <v>75</v>
      </c>
      <c r="T176" s="4">
        <v>5</v>
      </c>
      <c r="U176" s="4">
        <v>6</v>
      </c>
      <c r="V176" s="4">
        <v>2132</v>
      </c>
      <c r="W176" s="4">
        <v>15</v>
      </c>
      <c r="X176" s="1" t="s">
        <v>23</v>
      </c>
      <c r="Y176" s="1" t="s">
        <v>800</v>
      </c>
      <c r="Z176" s="3">
        <v>45553.307442129626</v>
      </c>
      <c r="AA176" s="2" t="s">
        <v>799</v>
      </c>
      <c r="AB176" s="1" t="s">
        <v>798</v>
      </c>
    </row>
    <row r="177" spans="1:28">
      <c r="A177" s="4">
        <v>175</v>
      </c>
      <c r="B177" s="1" t="s">
        <v>797</v>
      </c>
      <c r="C177" s="1" t="s">
        <v>796</v>
      </c>
      <c r="D177" s="5" t="s">
        <v>795</v>
      </c>
      <c r="E177" s="1" t="s">
        <v>794</v>
      </c>
      <c r="F177" s="1" t="s">
        <v>793</v>
      </c>
      <c r="G177" s="10"/>
      <c r="H177" s="10" t="str">
        <f>IF(Q177&lt;100000,"1.마이크로-10만명 미만","2.메가-10만명 이상")</f>
        <v>1.마이크로-10만명 미만</v>
      </c>
      <c r="I177" s="10" t="str">
        <f ca="1">IFERROR(__xludf.DUMMYFUNCTION("iferror(REGEXEXTRACT(E177,""[a-zA-Z0-9._%+-]+@[a-zA-Z0-9.-]+\.[a-zA-Z]{2,}""),""2.이메일 없음"")"),"2.이메일 없음")</f>
        <v>2.이메일 없음</v>
      </c>
      <c r="J177" s="10">
        <f>IFERROR((S177+T177+U177)/V177,"")</f>
        <v>4.8423063563737406E-2</v>
      </c>
      <c r="K177" s="9">
        <f>IFERROR(U177/V177,"")</f>
        <v>2.4661340743313651E-4</v>
      </c>
      <c r="L177" s="8">
        <f>IFERROR(MIN(Q177/1000*1.5, 150),"")</f>
        <v>4.1955</v>
      </c>
      <c r="M177" s="7">
        <f>IFERROR(V177/Q177,"")</f>
        <v>102.93171254915981</v>
      </c>
      <c r="N177" s="6">
        <f>IFERROR((S177+U177)/Q177,"")</f>
        <v>4.8162316767965674</v>
      </c>
      <c r="O177" s="6">
        <f>IFERROR(100/(L177+1),"")</f>
        <v>19.2474256568184</v>
      </c>
      <c r="P177" s="5" t="s">
        <v>792</v>
      </c>
      <c r="Q177" s="4">
        <v>2797</v>
      </c>
      <c r="R177" s="4">
        <v>91</v>
      </c>
      <c r="S177" s="4">
        <v>13400</v>
      </c>
      <c r="T177" s="4">
        <v>470</v>
      </c>
      <c r="U177" s="4">
        <v>71</v>
      </c>
      <c r="V177" s="4">
        <v>287900</v>
      </c>
      <c r="W177" s="4">
        <v>8</v>
      </c>
      <c r="X177" s="1" t="s">
        <v>791</v>
      </c>
      <c r="Y177" s="1" t="s">
        <v>790</v>
      </c>
      <c r="Z177" s="3">
        <v>45212.153113425928</v>
      </c>
      <c r="AA177" s="2" t="s">
        <v>789</v>
      </c>
      <c r="AB177" s="1" t="s">
        <v>788</v>
      </c>
    </row>
    <row r="178" spans="1:28">
      <c r="A178" s="4">
        <v>176</v>
      </c>
      <c r="B178" s="1" t="s">
        <v>787</v>
      </c>
      <c r="C178" s="1" t="s">
        <v>786</v>
      </c>
      <c r="D178" s="5" t="s">
        <v>785</v>
      </c>
      <c r="E178" s="1" t="s">
        <v>784</v>
      </c>
      <c r="F178" s="1" t="s">
        <v>783</v>
      </c>
      <c r="G178" s="10"/>
      <c r="H178" s="10" t="str">
        <f>IF(Q178&lt;100000,"1.마이크로-10만명 미만","2.메가-10만명 이상")</f>
        <v>1.마이크로-10만명 미만</v>
      </c>
      <c r="I178" s="10" t="str">
        <f ca="1">IFERROR(__xludf.DUMMYFUNCTION("iferror(REGEXEXTRACT(E178,""[a-zA-Z0-9._%+-]+@[a-zA-Z0-9.-]+\.[a-zA-Z]{2,}""),""2.이메일 없음"")"),"2.이메일 없음")</f>
        <v>2.이메일 없음</v>
      </c>
      <c r="J178" s="10">
        <f>IFERROR((S178+T178+U178)/V178,"")</f>
        <v>6.0627450980392156E-2</v>
      </c>
      <c r="K178" s="9">
        <f>IFERROR(U178/V178,"")</f>
        <v>7.4509803921568628E-4</v>
      </c>
      <c r="L178" s="8">
        <f>IFERROR(MIN(Q178/1000*1.5, 150),"")</f>
        <v>5.5724999999999998</v>
      </c>
      <c r="M178" s="7">
        <f>IFERROR(V178/Q178,"")</f>
        <v>27.456258411843876</v>
      </c>
      <c r="N178" s="6">
        <f>IFERROR((S178+U178)/Q178,"")</f>
        <v>1.4977119784656796</v>
      </c>
      <c r="O178" s="6">
        <f>IFERROR(100/(L178+1),"")</f>
        <v>15.214910612400153</v>
      </c>
      <c r="P178" s="5" t="s">
        <v>782</v>
      </c>
      <c r="Q178" s="4">
        <v>3715</v>
      </c>
      <c r="R178" s="4">
        <v>236</v>
      </c>
      <c r="S178" s="4">
        <v>5488</v>
      </c>
      <c r="T178" s="4">
        <v>620</v>
      </c>
      <c r="U178" s="4">
        <v>76</v>
      </c>
      <c r="V178" s="4">
        <v>102000</v>
      </c>
      <c r="W178" s="4">
        <v>30</v>
      </c>
      <c r="X178" s="1" t="s">
        <v>781</v>
      </c>
      <c r="Y178" s="1" t="s">
        <v>780</v>
      </c>
      <c r="Z178" s="3">
        <v>45689.188009259262</v>
      </c>
      <c r="AA178" s="2" t="s">
        <v>779</v>
      </c>
      <c r="AB178" s="1">
        <v>13885936</v>
      </c>
    </row>
    <row r="179" spans="1:28">
      <c r="A179" s="4">
        <v>177</v>
      </c>
      <c r="B179" s="1" t="s">
        <v>354</v>
      </c>
      <c r="C179" s="1" t="s">
        <v>353</v>
      </c>
      <c r="D179" s="5" t="s">
        <v>352</v>
      </c>
      <c r="E179" s="1" t="s">
        <v>351</v>
      </c>
      <c r="F179" s="1" t="s">
        <v>778</v>
      </c>
      <c r="G179" s="10"/>
      <c r="H179" s="10" t="str">
        <f>IF(Q179&lt;100000,"1.마이크로-10만명 미만","2.메가-10만명 이상")</f>
        <v>2.메가-10만명 이상</v>
      </c>
      <c r="I179" s="10" t="str">
        <f ca="1">IFERROR(__xludf.DUMMYFUNCTION("iferror(REGEXEXTRACT(E179,""[a-zA-Z0-9._%+-]+@[a-zA-Z0-9.-]+\.[a-zA-Z]{2,}""),""2.이메일 없음"")"),"2.이메일 없음")</f>
        <v>2.이메일 없음</v>
      </c>
      <c r="J179" s="10">
        <f>IFERROR((S179+T179+U179)/V179,"")</f>
        <v>3.796186813186813E-2</v>
      </c>
      <c r="K179" s="9">
        <f>IFERROR(U179/V179,"")</f>
        <v>9.9120879120879121E-5</v>
      </c>
      <c r="L179" s="8">
        <f>IFERROR(MIN(Q179/1000*1.5, 150),"")</f>
        <v>150</v>
      </c>
      <c r="M179" s="7">
        <f>IFERROR(V179/Q179,"")</f>
        <v>22.784176264396596</v>
      </c>
      <c r="N179" s="6">
        <f>IFERROR((S179+U179)/Q179,"")</f>
        <v>0.85553830746119175</v>
      </c>
      <c r="O179" s="6">
        <f>IFERROR(100/(L179+1),"")</f>
        <v>0.66225165562913912</v>
      </c>
      <c r="P179" s="5" t="s">
        <v>777</v>
      </c>
      <c r="Q179" s="4">
        <v>399400</v>
      </c>
      <c r="R179" s="4">
        <v>763</v>
      </c>
      <c r="S179" s="4">
        <v>340800</v>
      </c>
      <c r="T179" s="4">
        <v>3751</v>
      </c>
      <c r="U179" s="4">
        <v>902</v>
      </c>
      <c r="V179" s="4">
        <v>9100000</v>
      </c>
      <c r="W179" s="4">
        <v>17</v>
      </c>
      <c r="X179" s="1" t="s">
        <v>776</v>
      </c>
      <c r="Y179" s="1" t="s">
        <v>775</v>
      </c>
      <c r="Z179" s="3">
        <v>45336.492465277777</v>
      </c>
      <c r="AA179" s="2" t="s">
        <v>774</v>
      </c>
      <c r="AB179" s="1" t="s">
        <v>345</v>
      </c>
    </row>
    <row r="180" spans="1:28">
      <c r="A180" s="4">
        <v>178</v>
      </c>
      <c r="B180" s="1" t="s">
        <v>773</v>
      </c>
      <c r="C180" s="1" t="s">
        <v>772</v>
      </c>
      <c r="D180" s="5" t="s">
        <v>771</v>
      </c>
      <c r="E180" s="1" t="s">
        <v>770</v>
      </c>
      <c r="F180" s="1" t="s">
        <v>769</v>
      </c>
      <c r="G180" s="10"/>
      <c r="H180" s="10" t="str">
        <f>IF(Q180&lt;100000,"1.마이크로-10만명 미만","2.메가-10만명 이상")</f>
        <v>1.마이크로-10만명 미만</v>
      </c>
      <c r="I180" s="10" t="str">
        <f ca="1">IFERROR(__xludf.DUMMYFUNCTION("iferror(REGEXEXTRACT(E180,""[a-zA-Z0-9._%+-]+@[a-zA-Z0-9.-]+\.[a-zA-Z]{2,}""),""2.이메일 없음"")"),"2.이메일 없음")</f>
        <v>2.이메일 없음</v>
      </c>
      <c r="J180" s="10">
        <f>IFERROR((S180+T180+U180)/V180,"")</f>
        <v>6.6789667896678964E-2</v>
      </c>
      <c r="K180" s="9">
        <f>IFERROR(U180/V180,"")</f>
        <v>2.2140221402214021E-3</v>
      </c>
      <c r="L180" s="8">
        <f>IFERROR(MIN(Q180/1000*1.5, 150),"")</f>
        <v>0.26249999999999996</v>
      </c>
      <c r="M180" s="7">
        <f>IFERROR(V180/Q180,"")</f>
        <v>15.485714285714286</v>
      </c>
      <c r="N180" s="6">
        <f>IFERROR((S180+U180)/Q180,"")</f>
        <v>1.0171428571428571</v>
      </c>
      <c r="O180" s="6">
        <f>IFERROR(100/(L180+1),"")</f>
        <v>79.207920792079207</v>
      </c>
      <c r="P180" s="5" t="s">
        <v>768</v>
      </c>
      <c r="Q180" s="4">
        <v>175</v>
      </c>
      <c r="R180" s="4">
        <v>41</v>
      </c>
      <c r="S180" s="4">
        <v>172</v>
      </c>
      <c r="T180" s="4">
        <v>3</v>
      </c>
      <c r="U180" s="4">
        <v>6</v>
      </c>
      <c r="V180" s="4">
        <v>2710</v>
      </c>
      <c r="W180" s="4">
        <v>14</v>
      </c>
      <c r="X180" s="1" t="s">
        <v>767</v>
      </c>
      <c r="Y180" s="1" t="s">
        <v>766</v>
      </c>
      <c r="Z180" s="3">
        <v>45866.084976851853</v>
      </c>
      <c r="AA180" s="2" t="s">
        <v>765</v>
      </c>
      <c r="AB180" s="1" t="s">
        <v>764</v>
      </c>
    </row>
    <row r="181" spans="1:28">
      <c r="A181" s="4">
        <v>179</v>
      </c>
      <c r="B181" s="1" t="s">
        <v>763</v>
      </c>
      <c r="C181" s="1" t="s">
        <v>762</v>
      </c>
      <c r="D181" s="5" t="s">
        <v>761</v>
      </c>
      <c r="E181" s="1" t="s">
        <v>760</v>
      </c>
      <c r="F181" s="1" t="s">
        <v>759</v>
      </c>
      <c r="G181" s="10"/>
      <c r="H181" s="10" t="str">
        <f>IF(Q181&lt;100000,"1.마이크로-10만명 미만","2.메가-10만명 이상")</f>
        <v>2.메가-10만명 이상</v>
      </c>
      <c r="I181" s="10" t="str">
        <f ca="1">IFERROR(__xludf.DUMMYFUNCTION("iferror(REGEXEXTRACT(E181,""[a-zA-Z0-9._%+-]+@[a-zA-Z0-9.-]+\.[a-zA-Z]{2,}""),""2.이메일 없음"")"),"taylor@outreachtalentgroup.com")</f>
        <v>taylor@outreachtalentgroup.com</v>
      </c>
      <c r="J181" s="10">
        <f>IFERROR((S181+T181+U181)/V181,"")</f>
        <v>2.6275E-2</v>
      </c>
      <c r="K181" s="9">
        <f>IFERROR(U181/V181,"")</f>
        <v>1.2115384615384615E-4</v>
      </c>
      <c r="L181" s="8">
        <f>IFERROR(MIN(Q181/1000*1.5, 150),"")</f>
        <v>150</v>
      </c>
      <c r="M181" s="7">
        <f>IFERROR(V181/Q181,"")</f>
        <v>3.1022551008232906</v>
      </c>
      <c r="N181" s="6">
        <f>IFERROR((S181+U181)/Q181,"")</f>
        <v>7.9602672712086861E-2</v>
      </c>
      <c r="O181" s="6">
        <f>IFERROR(100/(L181+1),"")</f>
        <v>0.66225165562913912</v>
      </c>
      <c r="P181" s="5" t="s">
        <v>758</v>
      </c>
      <c r="Q181" s="4">
        <v>838100</v>
      </c>
      <c r="R181" s="4">
        <v>566</v>
      </c>
      <c r="S181" s="4">
        <v>66400</v>
      </c>
      <c r="T181" s="4">
        <v>1600</v>
      </c>
      <c r="U181" s="4">
        <v>315</v>
      </c>
      <c r="V181" s="4">
        <v>2600000</v>
      </c>
      <c r="W181" s="4">
        <v>14</v>
      </c>
      <c r="X181" s="1" t="s">
        <v>757</v>
      </c>
      <c r="Y181" s="1" t="s">
        <v>756</v>
      </c>
      <c r="Z181" s="3">
        <v>45622.374293981484</v>
      </c>
      <c r="AA181" s="2" t="s">
        <v>755</v>
      </c>
      <c r="AB181" s="1" t="s">
        <v>754</v>
      </c>
    </row>
    <row r="182" spans="1:28">
      <c r="A182" s="4">
        <v>180</v>
      </c>
      <c r="B182" s="1" t="s">
        <v>753</v>
      </c>
      <c r="C182" s="1" t="s">
        <v>752</v>
      </c>
      <c r="D182" s="5" t="s">
        <v>751</v>
      </c>
      <c r="E182" s="1" t="s">
        <v>750</v>
      </c>
      <c r="F182" s="1" t="s">
        <v>749</v>
      </c>
      <c r="G182" s="10"/>
      <c r="H182" s="10" t="str">
        <f>IF(Q182&lt;100000,"1.마이크로-10만명 미만","2.메가-10만명 이상")</f>
        <v>1.마이크로-10만명 미만</v>
      </c>
      <c r="I182" s="10" t="str">
        <f ca="1">IFERROR(__xludf.DUMMYFUNCTION("iferror(REGEXEXTRACT(E182,""[a-zA-Z0-9._%+-]+@[a-zA-Z0-9.-]+\.[a-zA-Z]{2,}""),""2.이메일 없음"")"),"mielnickajulia@gmail.com")</f>
        <v>mielnickajulia@gmail.com</v>
      </c>
      <c r="J182" s="10">
        <f>IFERROR((S182+T182+U182)/V182,"")</f>
        <v>5.7766367137355584E-2</v>
      </c>
      <c r="K182" s="9">
        <f>IFERROR(U182/V182,"")</f>
        <v>1.2836970474967907E-3</v>
      </c>
      <c r="L182" s="8">
        <f>IFERROR(MIN(Q182/1000*1.5, 150),"")</f>
        <v>4.4414999999999996</v>
      </c>
      <c r="M182" s="7">
        <f>IFERROR(V182/Q182,"")</f>
        <v>0.52617359000337727</v>
      </c>
      <c r="N182" s="6">
        <f>IFERROR((S182+U182)/Q182,"")</f>
        <v>2.8031070584262074E-2</v>
      </c>
      <c r="O182" s="6">
        <f>IFERROR(100/(L182+1),"")</f>
        <v>18.377285674905817</v>
      </c>
      <c r="P182" s="5" t="s">
        <v>748</v>
      </c>
      <c r="Q182" s="4">
        <v>2961</v>
      </c>
      <c r="R182" s="4">
        <v>740</v>
      </c>
      <c r="S182" s="4">
        <v>81</v>
      </c>
      <c r="T182" s="4">
        <v>7</v>
      </c>
      <c r="U182" s="4">
        <v>2</v>
      </c>
      <c r="V182" s="4">
        <v>1558</v>
      </c>
      <c r="W182" s="4">
        <v>12</v>
      </c>
      <c r="X182" s="1" t="s">
        <v>747</v>
      </c>
      <c r="Y182" s="1" t="s">
        <v>746</v>
      </c>
      <c r="Z182" s="3">
        <v>45727.728993055556</v>
      </c>
      <c r="AA182" s="2" t="s">
        <v>745</v>
      </c>
      <c r="AB182" s="1" t="s">
        <v>744</v>
      </c>
    </row>
    <row r="183" spans="1:28">
      <c r="A183" s="4">
        <v>181</v>
      </c>
      <c r="B183" s="1" t="s">
        <v>743</v>
      </c>
      <c r="C183" s="1" t="s">
        <v>742</v>
      </c>
      <c r="D183" s="5" t="s">
        <v>741</v>
      </c>
      <c r="E183" s="1" t="s">
        <v>740</v>
      </c>
      <c r="F183" s="1" t="s">
        <v>739</v>
      </c>
      <c r="G183" s="10"/>
      <c r="H183" s="10" t="str">
        <f>IF(Q183&lt;100000,"1.마이크로-10만명 미만","2.메가-10만명 이상")</f>
        <v>1.마이크로-10만명 미만</v>
      </c>
      <c r="I183" s="10" t="str">
        <f ca="1">IFERROR(__xludf.DUMMYFUNCTION("iferror(REGEXEXTRACT(E183,""[a-zA-Z0-9._%+-]+@[a-zA-Z0-9.-]+\.[a-zA-Z]{2,}""),""2.이메일 없음"")"),"2.이메일 없음")</f>
        <v>2.이메일 없음</v>
      </c>
      <c r="J183" s="10">
        <f>IFERROR((S183+T183+U183)/V183,"")</f>
        <v>0.15821839080459771</v>
      </c>
      <c r="K183" s="9">
        <f>IFERROR(U183/V183,"")</f>
        <v>2.4137931034482759E-4</v>
      </c>
      <c r="L183" s="8">
        <f>IFERROR(MIN(Q183/1000*1.5, 150),"")</f>
        <v>1.044</v>
      </c>
      <c r="M183" s="7">
        <f>IFERROR(V183/Q183,"")</f>
        <v>125</v>
      </c>
      <c r="N183" s="6">
        <f>IFERROR((S183+U183)/Q183,"")</f>
        <v>16.84051724137931</v>
      </c>
      <c r="O183" s="6">
        <f>IFERROR(100/(L183+1),"")</f>
        <v>48.923679060665364</v>
      </c>
      <c r="P183" s="5" t="s">
        <v>738</v>
      </c>
      <c r="Q183" s="4">
        <v>696</v>
      </c>
      <c r="R183" s="4">
        <v>126</v>
      </c>
      <c r="S183" s="4">
        <v>11700</v>
      </c>
      <c r="T183" s="4">
        <v>2044</v>
      </c>
      <c r="U183" s="4">
        <v>21</v>
      </c>
      <c r="V183" s="4">
        <v>87000</v>
      </c>
      <c r="W183" s="4">
        <v>15</v>
      </c>
      <c r="X183" s="1" t="s">
        <v>737</v>
      </c>
      <c r="Y183" s="1" t="s">
        <v>736</v>
      </c>
      <c r="Z183" s="3">
        <v>45890.021909722222</v>
      </c>
      <c r="AA183" s="2" t="s">
        <v>735</v>
      </c>
      <c r="AB183" s="1" t="s">
        <v>734</v>
      </c>
    </row>
    <row r="184" spans="1:28">
      <c r="A184" s="4">
        <v>182</v>
      </c>
      <c r="B184" s="15" t="s">
        <v>733</v>
      </c>
      <c r="C184" s="1" t="s">
        <v>728</v>
      </c>
      <c r="D184" s="5" t="s">
        <v>732</v>
      </c>
      <c r="E184" s="1" t="s">
        <v>731</v>
      </c>
      <c r="F184" s="1" t="s">
        <v>730</v>
      </c>
      <c r="G184" s="10"/>
      <c r="H184" s="10" t="str">
        <f>IF(Q184&lt;100000,"1.마이크로-10만명 미만","2.메가-10만명 이상")</f>
        <v>1.마이크로-10만명 미만</v>
      </c>
      <c r="I184" s="10" t="str">
        <f ca="1">IFERROR(__xludf.DUMMYFUNCTION("iferror(REGEXEXTRACT(E184,""[a-zA-Z0-9._%+-]+@[a-zA-Z0-9.-]+\.[a-zA-Z]{2,}""),""2.이메일 없음"")"),"2.이메일 없음")</f>
        <v>2.이메일 없음</v>
      </c>
      <c r="J184" s="10">
        <f>IFERROR((S184+T184+U184)/V184,"")</f>
        <v>0.22399445214979197</v>
      </c>
      <c r="K184" s="9">
        <f>IFERROR(U184/V184,"")</f>
        <v>4.1608876560332873E-4</v>
      </c>
      <c r="L184" s="8">
        <f>IFERROR(MIN(Q184/1000*1.5, 150),"")</f>
        <v>53.699999999999996</v>
      </c>
      <c r="M184" s="7">
        <f>IFERROR(V184/Q184,"")</f>
        <v>2.0139664804469275</v>
      </c>
      <c r="N184" s="6">
        <f>IFERROR((S184+U184)/Q184,"")</f>
        <v>0.45055865921787708</v>
      </c>
      <c r="O184" s="6">
        <f>IFERROR(100/(L184+1),"")</f>
        <v>1.8281535648994518</v>
      </c>
      <c r="P184" s="5" t="s">
        <v>729</v>
      </c>
      <c r="Q184" s="4">
        <v>35800</v>
      </c>
      <c r="R184" s="4">
        <v>11</v>
      </c>
      <c r="S184" s="4">
        <v>16100</v>
      </c>
      <c r="T184" s="4">
        <v>20</v>
      </c>
      <c r="U184" s="4">
        <v>30</v>
      </c>
      <c r="V184" s="4">
        <v>72100</v>
      </c>
      <c r="W184" s="4">
        <v>41</v>
      </c>
      <c r="X184" s="1" t="s">
        <v>23</v>
      </c>
      <c r="Y184" s="1" t="s">
        <v>728</v>
      </c>
      <c r="Z184" s="3">
        <v>45539.296122685184</v>
      </c>
      <c r="AA184" s="2" t="s">
        <v>727</v>
      </c>
      <c r="AB184" s="1" t="s">
        <v>726</v>
      </c>
    </row>
    <row r="185" spans="1:28">
      <c r="A185" s="4">
        <v>183</v>
      </c>
      <c r="B185" s="1" t="s">
        <v>516</v>
      </c>
      <c r="C185" s="1" t="s">
        <v>515</v>
      </c>
      <c r="D185" s="5" t="s">
        <v>514</v>
      </c>
      <c r="E185" s="1" t="s">
        <v>513</v>
      </c>
      <c r="F185" s="1" t="s">
        <v>725</v>
      </c>
      <c r="G185" s="10"/>
      <c r="H185" s="10" t="str">
        <f>IF(Q185&lt;100000,"1.마이크로-10만명 미만","2.메가-10만명 이상")</f>
        <v>2.메가-10만명 이상</v>
      </c>
      <c r="I185" s="10" t="str">
        <f ca="1">IFERROR(__xludf.DUMMYFUNCTION("iferror(REGEXEXTRACT(E185,""[a-zA-Z0-9._%+-]+@[a-zA-Z0-9.-]+\.[a-zA-Z]{2,}""),""2.이메일 없음"")"),"Daylancollaborations@gmail.com")</f>
        <v>Daylancollaborations@gmail.com</v>
      </c>
      <c r="J185" s="10">
        <f>IFERROR((S185+T185+U185)/V185,"")</f>
        <v>9.1391941391941386E-2</v>
      </c>
      <c r="K185" s="9">
        <f>IFERROR(U185/V185,"")</f>
        <v>4.0293040293040293E-4</v>
      </c>
      <c r="L185" s="8">
        <f>IFERROR(MIN(Q185/1000*1.5, 150),"")</f>
        <v>150</v>
      </c>
      <c r="M185" s="7">
        <f>IFERROR(V185/Q185,"")</f>
        <v>3.1833022388059705E-2</v>
      </c>
      <c r="N185" s="6">
        <f>IFERROR((S185+U185)/Q185,"")</f>
        <v>2.8486473880597013E-3</v>
      </c>
      <c r="O185" s="6">
        <f>IFERROR(100/(L185+1),"")</f>
        <v>0.66225165562913912</v>
      </c>
      <c r="P185" s="5" t="s">
        <v>724</v>
      </c>
      <c r="Q185" s="4">
        <v>857600</v>
      </c>
      <c r="R185" s="4">
        <v>1773</v>
      </c>
      <c r="S185" s="4">
        <v>2432</v>
      </c>
      <c r="T185" s="4">
        <v>52</v>
      </c>
      <c r="U185" s="4">
        <v>11</v>
      </c>
      <c r="V185" s="4">
        <v>27300</v>
      </c>
      <c r="W185" s="4">
        <v>6</v>
      </c>
      <c r="X185" s="1" t="s">
        <v>596</v>
      </c>
      <c r="Y185" s="1" t="s">
        <v>595</v>
      </c>
      <c r="Z185" s="3">
        <v>45151.208298611113</v>
      </c>
      <c r="AA185" s="2" t="s">
        <v>723</v>
      </c>
      <c r="AB185" s="1" t="s">
        <v>507</v>
      </c>
    </row>
    <row r="186" spans="1:28">
      <c r="A186" s="4">
        <v>184</v>
      </c>
      <c r="B186" s="1" t="s">
        <v>722</v>
      </c>
      <c r="C186" s="1" t="s">
        <v>722</v>
      </c>
      <c r="D186" s="5" t="s">
        <v>721</v>
      </c>
      <c r="E186" s="1" t="s">
        <v>720</v>
      </c>
      <c r="F186" s="1" t="s">
        <v>719</v>
      </c>
      <c r="G186" s="10"/>
      <c r="H186" s="10" t="str">
        <f>IF(Q186&lt;100000,"1.마이크로-10만명 미만","2.메가-10만명 이상")</f>
        <v>1.마이크로-10만명 미만</v>
      </c>
      <c r="I186" s="10" t="str">
        <f ca="1">IFERROR(__xludf.DUMMYFUNCTION("iferror(REGEXEXTRACT(E186,""[a-zA-Z0-9._%+-]+@[a-zA-Z0-9.-]+\.[a-zA-Z]{2,}""),""2.이메일 없음"")"),"2.이메일 없음")</f>
        <v>2.이메일 없음</v>
      </c>
      <c r="J186" s="10">
        <f>IFERROR((S186+T186+U186)/V186,"")</f>
        <v>3.0328638497652584E-2</v>
      </c>
      <c r="K186" s="9">
        <f>IFERROR(U186/V186,"")</f>
        <v>1.8779342723004695E-4</v>
      </c>
      <c r="L186" s="8">
        <f>IFERROR(MIN(Q186/1000*1.5, 150),"")</f>
        <v>5.6325000000000003</v>
      </c>
      <c r="M186" s="7">
        <f>IFERROR(V186/Q186,"")</f>
        <v>5.6724367509986688</v>
      </c>
      <c r="N186" s="6">
        <f>IFERROR((S186+U186)/Q186,"")</f>
        <v>0.16511318242343542</v>
      </c>
      <c r="O186" s="6">
        <f>IFERROR(100/(L186+1),"")</f>
        <v>15.077271013946476</v>
      </c>
      <c r="P186" s="5" t="s">
        <v>718</v>
      </c>
      <c r="Q186" s="4">
        <v>3755</v>
      </c>
      <c r="R186" s="4">
        <v>239</v>
      </c>
      <c r="S186" s="4">
        <v>616</v>
      </c>
      <c r="T186" s="4">
        <v>26</v>
      </c>
      <c r="U186" s="4">
        <v>4</v>
      </c>
      <c r="V186" s="4">
        <v>21300</v>
      </c>
      <c r="W186" s="4">
        <v>21</v>
      </c>
      <c r="X186" s="1" t="s">
        <v>717</v>
      </c>
      <c r="Y186" s="1" t="s">
        <v>716</v>
      </c>
      <c r="Z186" s="3">
        <v>45710.455636574072</v>
      </c>
      <c r="AA186" s="2" t="s">
        <v>715</v>
      </c>
      <c r="AB186" s="1" t="s">
        <v>714</v>
      </c>
    </row>
    <row r="187" spans="1:28">
      <c r="A187" s="4">
        <v>185</v>
      </c>
      <c r="B187" s="1" t="s">
        <v>713</v>
      </c>
      <c r="C187" s="1" t="s">
        <v>713</v>
      </c>
      <c r="D187" s="5" t="s">
        <v>712</v>
      </c>
      <c r="E187" s="1" t="s">
        <v>711</v>
      </c>
      <c r="F187" s="1" t="s">
        <v>710</v>
      </c>
      <c r="G187" s="10"/>
      <c r="H187" s="10" t="str">
        <f>IF(Q187&lt;100000,"1.마이크로-10만명 미만","2.메가-10만명 이상")</f>
        <v>2.메가-10만명 이상</v>
      </c>
      <c r="I187" s="10" t="str">
        <f ca="1">IFERROR(__xludf.DUMMYFUNCTION("iferror(REGEXEXTRACT(E187,""[a-zA-Z0-9._%+-]+@[a-zA-Z0-9.-]+\.[a-zA-Z]{2,}""),""2.이메일 없음"")"),"Kalogeras@night.co")</f>
        <v>Kalogeras@night.co</v>
      </c>
      <c r="J187" s="10">
        <f>IFERROR((S187+T187+U187)/V187,"")</f>
        <v>0.10247406779661017</v>
      </c>
      <c r="K187" s="9">
        <f>IFERROR(U187/V187,"")</f>
        <v>4.0813559322033896E-4</v>
      </c>
      <c r="L187" s="8">
        <f>IFERROR(MIN(Q187/1000*1.5, 150),"")</f>
        <v>150</v>
      </c>
      <c r="M187" s="7">
        <f>IFERROR(V187/Q187,"")</f>
        <v>0.4041095890410959</v>
      </c>
      <c r="N187" s="6">
        <f>IFERROR((S187+U187)/Q187,"")</f>
        <v>4.0904657534246575E-2</v>
      </c>
      <c r="O187" s="6">
        <f>IFERROR(100/(L187+1),"")</f>
        <v>0.66225165562913912</v>
      </c>
      <c r="P187" s="5" t="s">
        <v>709</v>
      </c>
      <c r="Q187" s="4">
        <v>14600000</v>
      </c>
      <c r="R187" s="4">
        <v>782</v>
      </c>
      <c r="S187" s="4">
        <v>594800</v>
      </c>
      <c r="T187" s="4">
        <v>7389</v>
      </c>
      <c r="U187" s="4">
        <v>2408</v>
      </c>
      <c r="V187" s="4">
        <v>5900000</v>
      </c>
      <c r="W187" s="4">
        <v>8</v>
      </c>
      <c r="X187" s="1" t="s">
        <v>23</v>
      </c>
      <c r="Y187" s="1" t="s">
        <v>708</v>
      </c>
      <c r="Z187" s="3">
        <v>45690.202974537038</v>
      </c>
      <c r="AA187" s="2" t="s">
        <v>707</v>
      </c>
      <c r="AB187" s="1" t="s">
        <v>706</v>
      </c>
    </row>
    <row r="188" spans="1:28">
      <c r="A188" s="4">
        <v>186</v>
      </c>
      <c r="B188" s="1" t="s">
        <v>705</v>
      </c>
      <c r="C188" s="1" t="s">
        <v>704</v>
      </c>
      <c r="D188" s="5" t="s">
        <v>703</v>
      </c>
      <c r="E188" s="1" t="s">
        <v>702</v>
      </c>
      <c r="F188" s="1" t="s">
        <v>701</v>
      </c>
      <c r="G188" s="10"/>
      <c r="H188" s="10" t="str">
        <f>IF(Q188&lt;100000,"1.마이크로-10만명 미만","2.메가-10만명 이상")</f>
        <v>2.메가-10만명 이상</v>
      </c>
      <c r="I188" s="10" t="str">
        <f ca="1">IFERROR(__xludf.DUMMYFUNCTION("iferror(REGEXEXTRACT(E188,""[a-zA-Z0-9._%+-]+@[a-zA-Z0-9.-]+\.[a-zA-Z]{2,}""),""2.이메일 없음"")"),"2.이메일 없음")</f>
        <v>2.이메일 없음</v>
      </c>
      <c r="J188" s="10">
        <f>IFERROR((S188+T188+U188)/V188,"")</f>
        <v>0.13969008753252898</v>
      </c>
      <c r="K188" s="9">
        <f>IFERROR(U188/V188,"")</f>
        <v>4.3293115684882896E-4</v>
      </c>
      <c r="L188" s="8">
        <f>IFERROR(MIN(Q188/1000*1.5, 150),"")</f>
        <v>150</v>
      </c>
      <c r="M188" s="7">
        <f>IFERROR(V188/Q188,"")</f>
        <v>1.7423742786479801</v>
      </c>
      <c r="N188" s="6">
        <f>IFERROR((S188+U188)/Q188,"")</f>
        <v>0.21880873866446826</v>
      </c>
      <c r="O188" s="6">
        <f>IFERROR(100/(L188+1),"")</f>
        <v>0.66225165562913912</v>
      </c>
      <c r="P188" s="5" t="s">
        <v>700</v>
      </c>
      <c r="Q188" s="4">
        <v>242600</v>
      </c>
      <c r="R188" s="4">
        <v>166</v>
      </c>
      <c r="S188" s="4">
        <v>52900</v>
      </c>
      <c r="T188" s="4">
        <v>5964</v>
      </c>
      <c r="U188" s="4">
        <v>183</v>
      </c>
      <c r="V188" s="4">
        <v>422700</v>
      </c>
      <c r="W188" s="4">
        <v>15</v>
      </c>
      <c r="X188" s="1" t="s">
        <v>699</v>
      </c>
      <c r="Y188" s="1" t="s">
        <v>698</v>
      </c>
      <c r="Z188" s="3">
        <v>45669.23642361111</v>
      </c>
      <c r="AA188" s="2" t="s">
        <v>697</v>
      </c>
      <c r="AB188" s="1" t="s">
        <v>696</v>
      </c>
    </row>
    <row r="189" spans="1:28">
      <c r="A189" s="4">
        <v>187</v>
      </c>
      <c r="B189" s="1" t="s">
        <v>695</v>
      </c>
      <c r="C189" s="1" t="s">
        <v>695</v>
      </c>
      <c r="D189" s="5" t="s">
        <v>694</v>
      </c>
      <c r="E189" s="1" t="s">
        <v>693</v>
      </c>
      <c r="F189" s="1"/>
      <c r="G189" s="10"/>
      <c r="H189" s="10" t="str">
        <f>IF(Q189&lt;100000,"1.마이크로-10만명 미만","2.메가-10만명 이상")</f>
        <v>1.마이크로-10만명 미만</v>
      </c>
      <c r="I189" s="10" t="str">
        <f ca="1">IFERROR(__xludf.DUMMYFUNCTION("iferror(REGEXEXTRACT(E189,""[a-zA-Z0-9._%+-]+@[a-zA-Z0-9.-]+\.[a-zA-Z]{2,}""),""2.이메일 없음"")"),"2.이메일 없음")</f>
        <v>2.이메일 없음</v>
      </c>
      <c r="J189" s="10">
        <f>IFERROR((S189+T189+U189)/V189,"")</f>
        <v>5.0106382978723406E-2</v>
      </c>
      <c r="K189" s="9">
        <f>IFERROR(U189/V189,"")</f>
        <v>4.7872340425531912E-4</v>
      </c>
      <c r="L189" s="8">
        <f>IFERROR(MIN(Q189/1000*1.5, 150),"")</f>
        <v>0.40050000000000002</v>
      </c>
      <c r="M189" s="7">
        <f>IFERROR(V189/Q189,"")</f>
        <v>140.82397003745319</v>
      </c>
      <c r="N189" s="6">
        <f>IFERROR((S189+U189)/Q189,"")</f>
        <v>6.7902621722846446</v>
      </c>
      <c r="O189" s="6">
        <f>IFERROR(100/(L189+1),"")</f>
        <v>71.403070332024271</v>
      </c>
      <c r="P189" s="5" t="s">
        <v>692</v>
      </c>
      <c r="Q189" s="4">
        <v>267</v>
      </c>
      <c r="R189" s="4">
        <v>95</v>
      </c>
      <c r="S189" s="4">
        <v>1795</v>
      </c>
      <c r="T189" s="4">
        <v>71</v>
      </c>
      <c r="U189" s="4">
        <v>18</v>
      </c>
      <c r="V189" s="4">
        <v>37600</v>
      </c>
      <c r="W189" s="4">
        <v>15</v>
      </c>
      <c r="X189" s="1" t="s">
        <v>23</v>
      </c>
      <c r="Y189" s="1" t="s">
        <v>691</v>
      </c>
      <c r="Z189" s="3">
        <v>45578.278715277775</v>
      </c>
      <c r="AA189" s="2" t="s">
        <v>690</v>
      </c>
      <c r="AB189" s="1" t="s">
        <v>689</v>
      </c>
    </row>
    <row r="190" spans="1:28">
      <c r="A190" s="4">
        <v>188</v>
      </c>
      <c r="B190" s="1" t="s">
        <v>688</v>
      </c>
      <c r="C190" s="1" t="s">
        <v>683</v>
      </c>
      <c r="D190" s="5" t="s">
        <v>687</v>
      </c>
      <c r="E190" s="1" t="s">
        <v>686</v>
      </c>
      <c r="F190" s="1" t="s">
        <v>685</v>
      </c>
      <c r="G190" s="10"/>
      <c r="H190" s="10" t="str">
        <f>IF(Q190&lt;100000,"1.마이크로-10만명 미만","2.메가-10만명 이상")</f>
        <v>2.메가-10만명 이상</v>
      </c>
      <c r="I190" s="10" t="str">
        <f ca="1">IFERROR(__xludf.DUMMYFUNCTION("iferror(REGEXEXTRACT(E190,""[a-zA-Z0-9._%+-]+@[a-zA-Z0-9.-]+\.[a-zA-Z]{2,}""),""2.이메일 없음"")"),"2.이메일 없음")</f>
        <v>2.이메일 없음</v>
      </c>
      <c r="J190" s="10">
        <f>IFERROR((S190+T190+U190)/V190,"")</f>
        <v>0.10709200000000001</v>
      </c>
      <c r="K190" s="9">
        <f>IFERROR(U190/V190,"")</f>
        <v>9.2360000000000001E-4</v>
      </c>
      <c r="L190" s="8">
        <f>IFERROR(MIN(Q190/1000*1.5, 150),"")</f>
        <v>150</v>
      </c>
      <c r="M190" s="7">
        <f>IFERROR(V190/Q190,"")</f>
        <v>0.14792899408284024</v>
      </c>
      <c r="N190" s="6">
        <f>IFERROR((S190+U190)/Q190,"")</f>
        <v>1.5663254437869822E-2</v>
      </c>
      <c r="O190" s="6">
        <f>IFERROR(100/(L190+1),"")</f>
        <v>0.66225165562913912</v>
      </c>
      <c r="P190" s="5" t="s">
        <v>684</v>
      </c>
      <c r="Q190" s="4">
        <v>16900000</v>
      </c>
      <c r="R190" s="4">
        <v>5143</v>
      </c>
      <c r="S190" s="4">
        <v>262400</v>
      </c>
      <c r="T190" s="4">
        <v>3021</v>
      </c>
      <c r="U190" s="4">
        <v>2309</v>
      </c>
      <c r="V190" s="4">
        <v>2500000</v>
      </c>
      <c r="W190" s="4">
        <v>127</v>
      </c>
      <c r="X190" s="1" t="s">
        <v>23</v>
      </c>
      <c r="Y190" s="1" t="s">
        <v>683</v>
      </c>
      <c r="Z190" s="3">
        <v>45875.328506944446</v>
      </c>
      <c r="AA190" s="2" t="s">
        <v>682</v>
      </c>
      <c r="AB190" s="1" t="s">
        <v>681</v>
      </c>
    </row>
    <row r="191" spans="1:28">
      <c r="A191" s="13">
        <v>189</v>
      </c>
      <c r="B191" s="12" t="s">
        <v>680</v>
      </c>
      <c r="C191" s="1" t="s">
        <v>679</v>
      </c>
      <c r="D191" s="5" t="s">
        <v>678</v>
      </c>
      <c r="E191" s="3"/>
      <c r="F191" s="12" t="s">
        <v>677</v>
      </c>
      <c r="G191" s="10"/>
      <c r="H191" s="10" t="str">
        <f>IF(Q191&lt;100000,"1.마이크로-10만명 미만","2.메가-10만명 이상")</f>
        <v>1.마이크로-10만명 미만</v>
      </c>
      <c r="I191" s="10" t="str">
        <f ca="1">IFERROR(__xludf.DUMMYFUNCTION("iferror(REGEXEXTRACT(E191,""[a-zA-Z0-9._%+-]+@[a-zA-Z0-9.-]+\.[a-zA-Z]{2,}""),""2.이메일 없음"")"),"2.이메일 없음")</f>
        <v>2.이메일 없음</v>
      </c>
      <c r="J191" s="10">
        <f>IFERROR((S191+T191+U191)/V191,"")</f>
        <v>5.889145496535797E-2</v>
      </c>
      <c r="K191" s="9">
        <f>IFERROR(U191/V191,"")</f>
        <v>0</v>
      </c>
      <c r="L191" s="8">
        <f>IFERROR(MIN(Q191/1000*1.5, 150),"")</f>
        <v>0.36</v>
      </c>
      <c r="M191" s="7">
        <f>IFERROR(V191/Q191,"")</f>
        <v>3.6083333333333334</v>
      </c>
      <c r="N191" s="6">
        <f>IFERROR((S191+U191)/Q191,"")</f>
        <v>0.21249999999999999</v>
      </c>
      <c r="O191" s="6">
        <f>IFERROR(100/(L191+1),"")</f>
        <v>73.529411764705884</v>
      </c>
      <c r="P191" s="5" t="s">
        <v>676</v>
      </c>
      <c r="Q191" s="4">
        <v>240</v>
      </c>
      <c r="R191" s="4">
        <v>72</v>
      </c>
      <c r="S191" s="13">
        <v>51</v>
      </c>
      <c r="T191" s="13">
        <v>0</v>
      </c>
      <c r="U191" s="13">
        <v>0</v>
      </c>
      <c r="V191" s="13">
        <v>866</v>
      </c>
      <c r="W191" s="13">
        <v>48</v>
      </c>
      <c r="X191" s="12" t="s">
        <v>675</v>
      </c>
      <c r="Y191" s="12" t="s">
        <v>674</v>
      </c>
      <c r="Z191" s="11">
        <v>45909.27616898148</v>
      </c>
      <c r="AA191" s="2" t="s">
        <v>673</v>
      </c>
      <c r="AB191" s="1" t="s">
        <v>672</v>
      </c>
    </row>
    <row r="192" spans="1:28">
      <c r="A192" s="4">
        <v>190</v>
      </c>
      <c r="B192" s="1" t="s">
        <v>671</v>
      </c>
      <c r="C192" s="1" t="s">
        <v>670</v>
      </c>
      <c r="D192" s="5" t="s">
        <v>669</v>
      </c>
      <c r="E192" s="1" t="s">
        <v>668</v>
      </c>
      <c r="F192" s="1" t="s">
        <v>667</v>
      </c>
      <c r="G192" s="10"/>
      <c r="H192" s="10" t="str">
        <f>IF(Q192&lt;100000,"1.마이크로-10만명 미만","2.메가-10만명 이상")</f>
        <v>1.마이크로-10만명 미만</v>
      </c>
      <c r="I192" s="10" t="str">
        <f ca="1">IFERROR(__xludf.DUMMYFUNCTION("iferror(REGEXEXTRACT(E192,""[a-zA-Z0-9._%+-]+@[a-zA-Z0-9.-]+\.[a-zA-Z]{2,}""),""2.이메일 없음"")"),"kashxdoutdes@gmail.com")</f>
        <v>kashxdoutdes@gmail.com</v>
      </c>
      <c r="J192" s="10">
        <f>IFERROR((S192+T192+U192)/V192,"")</f>
        <v>8.6331877729257642E-2</v>
      </c>
      <c r="K192" s="9">
        <f>IFERROR(U192/V192,"")</f>
        <v>1.834061135371179E-3</v>
      </c>
      <c r="L192" s="8">
        <f>IFERROR(MIN(Q192/1000*1.5, 150),"")</f>
        <v>90</v>
      </c>
      <c r="M192" s="7">
        <f>IFERROR(V192/Q192,"")</f>
        <v>0.38166666666666665</v>
      </c>
      <c r="N192" s="6">
        <f>IFERROR((S192+U192)/Q192,"")</f>
        <v>3.2000000000000001E-2</v>
      </c>
      <c r="O192" s="6">
        <f>IFERROR(100/(L192+1),"")</f>
        <v>1.098901098901099</v>
      </c>
      <c r="P192" s="5" t="s">
        <v>666</v>
      </c>
      <c r="Q192" s="4">
        <v>60000</v>
      </c>
      <c r="R192" s="4">
        <v>494</v>
      </c>
      <c r="S192" s="4">
        <v>1878</v>
      </c>
      <c r="T192" s="4">
        <v>57</v>
      </c>
      <c r="U192" s="4">
        <v>42</v>
      </c>
      <c r="V192" s="4">
        <v>22900</v>
      </c>
      <c r="W192" s="4">
        <v>29</v>
      </c>
      <c r="X192" s="1" t="s">
        <v>23</v>
      </c>
      <c r="Y192" s="1" t="s">
        <v>665</v>
      </c>
      <c r="Z192" s="3">
        <v>45833.011284722219</v>
      </c>
      <c r="AA192" s="2" t="s">
        <v>664</v>
      </c>
      <c r="AB192" s="1" t="s">
        <v>663</v>
      </c>
    </row>
    <row r="193" spans="1:28">
      <c r="A193" s="4">
        <v>191</v>
      </c>
      <c r="B193" s="1" t="s">
        <v>662</v>
      </c>
      <c r="C193" s="12" t="s">
        <v>662</v>
      </c>
      <c r="D193" s="5" t="s">
        <v>661</v>
      </c>
      <c r="E193" s="12" t="s">
        <v>660</v>
      </c>
      <c r="F193" s="1" t="s">
        <v>659</v>
      </c>
      <c r="G193" s="10"/>
      <c r="H193" s="10" t="str">
        <f>IF(Q193&lt;100000,"1.마이크로-10만명 미만","2.메가-10만명 이상")</f>
        <v>1.마이크로-10만명 미만</v>
      </c>
      <c r="I193" s="10" t="str">
        <f ca="1">IFERROR(__xludf.DUMMYFUNCTION("iferror(REGEXEXTRACT(E193,""[a-zA-Z0-9._%+-]+@[a-zA-Z0-9.-]+\.[a-zA-Z]{2,}""),""2.이메일 없음"")"),"2.이메일 없음")</f>
        <v>2.이메일 없음</v>
      </c>
      <c r="J193" s="10">
        <f>IFERROR((S193+T193+U193)/V193,"")</f>
        <v>0.18622740791580875</v>
      </c>
      <c r="K193" s="9">
        <f>IFERROR(U193/V193,"")</f>
        <v>2.7453671928620452E-3</v>
      </c>
      <c r="L193" s="8">
        <f>IFERROR(MIN(Q193/1000*1.5, 150),"")</f>
        <v>78.599999999999994</v>
      </c>
      <c r="M193" s="7">
        <f>IFERROR(V193/Q193,"")</f>
        <v>8.3416030534351149E-2</v>
      </c>
      <c r="N193" s="6">
        <f>IFERROR((S193+U193)/Q193,"")</f>
        <v>1.5248091603053435E-2</v>
      </c>
      <c r="O193" s="6">
        <f>IFERROR(100/(L193+1),"")</f>
        <v>1.256281407035176</v>
      </c>
      <c r="P193" s="5" t="s">
        <v>658</v>
      </c>
      <c r="Q193" s="13">
        <v>52400</v>
      </c>
      <c r="R193" s="13">
        <v>353</v>
      </c>
      <c r="S193" s="4">
        <v>787</v>
      </c>
      <c r="T193" s="4">
        <v>15</v>
      </c>
      <c r="U193" s="4">
        <v>12</v>
      </c>
      <c r="V193" s="4">
        <v>4371</v>
      </c>
      <c r="W193" s="4">
        <v>7</v>
      </c>
      <c r="X193" s="1" t="s">
        <v>657</v>
      </c>
      <c r="Y193" s="1" t="s">
        <v>656</v>
      </c>
      <c r="Z193" s="3">
        <v>45904.208368055559</v>
      </c>
      <c r="AA193" s="2" t="s">
        <v>655</v>
      </c>
      <c r="AB193" s="12" t="s">
        <v>654</v>
      </c>
    </row>
    <row r="194" spans="1:28">
      <c r="A194" s="4">
        <v>192</v>
      </c>
      <c r="B194" s="1" t="s">
        <v>653</v>
      </c>
      <c r="C194" s="1" t="s">
        <v>652</v>
      </c>
      <c r="D194" s="5" t="s">
        <v>651</v>
      </c>
      <c r="E194" s="1" t="s">
        <v>650</v>
      </c>
      <c r="F194" s="1" t="s">
        <v>649</v>
      </c>
      <c r="G194" s="10"/>
      <c r="H194" s="10" t="str">
        <f>IF(Q194&lt;100000,"1.마이크로-10만명 미만","2.메가-10만명 이상")</f>
        <v>2.메가-10만명 이상</v>
      </c>
      <c r="I194" s="10" t="str">
        <f ca="1">IFERROR(__xludf.DUMMYFUNCTION("iferror(REGEXEXTRACT(E194,""[a-zA-Z0-9._%+-]+@[a-zA-Z0-9.-]+\.[a-zA-Z]{2,}""),""2.이메일 없음"")"),"melanie@beachwavesandbalayage.com")</f>
        <v>melanie@beachwavesandbalayage.com</v>
      </c>
      <c r="J194" s="10">
        <f>IFERROR((S194+T194+U194)/V194,"")</f>
        <v>0.11066666666666666</v>
      </c>
      <c r="K194" s="9">
        <f>IFERROR(U194/V194,"")</f>
        <v>1.3076923076923077E-3</v>
      </c>
      <c r="L194" s="8">
        <f>IFERROR(MIN(Q194/1000*1.5, 150),"")</f>
        <v>150</v>
      </c>
      <c r="M194" s="7">
        <f>IFERROR(V194/Q194,"")</f>
        <v>2.0818505338078293</v>
      </c>
      <c r="N194" s="6">
        <f>IFERROR((S194+U194)/Q194,"")</f>
        <v>0.2242526690391459</v>
      </c>
      <c r="O194" s="6">
        <f>IFERROR(100/(L194+1),"")</f>
        <v>0.66225165562913912</v>
      </c>
      <c r="P194" s="5" t="s">
        <v>648</v>
      </c>
      <c r="Q194" s="4">
        <v>112400</v>
      </c>
      <c r="R194" s="4">
        <v>805</v>
      </c>
      <c r="S194" s="4">
        <v>24900</v>
      </c>
      <c r="T194" s="4">
        <v>690</v>
      </c>
      <c r="U194" s="4">
        <v>306</v>
      </c>
      <c r="V194" s="4">
        <v>234000</v>
      </c>
      <c r="W194" s="4">
        <v>108</v>
      </c>
      <c r="X194" s="1" t="s">
        <v>647</v>
      </c>
      <c r="Y194" s="1" t="s">
        <v>646</v>
      </c>
      <c r="Z194" s="3">
        <v>45896.326226851852</v>
      </c>
      <c r="AA194" s="2" t="s">
        <v>645</v>
      </c>
      <c r="AB194" s="1" t="s">
        <v>644</v>
      </c>
    </row>
    <row r="195" spans="1:28">
      <c r="A195" s="4">
        <v>193</v>
      </c>
      <c r="B195" s="1" t="s">
        <v>643</v>
      </c>
      <c r="C195" s="1" t="s">
        <v>638</v>
      </c>
      <c r="D195" s="5" t="s">
        <v>642</v>
      </c>
      <c r="E195" s="1" t="s">
        <v>641</v>
      </c>
      <c r="F195" s="1" t="s">
        <v>640</v>
      </c>
      <c r="G195" s="10"/>
      <c r="H195" s="10" t="str">
        <f>IF(Q195&lt;100000,"1.마이크로-10만명 미만","2.메가-10만명 이상")</f>
        <v>2.메가-10만명 이상</v>
      </c>
      <c r="I195" s="10" t="str">
        <f ca="1">IFERROR(__xludf.DUMMYFUNCTION("iferror(REGEXEXTRACT(E195,""[a-zA-Z0-9._%+-]+@[a-zA-Z0-9.-]+\.[a-zA-Z]{2,}""),""2.이메일 없음"")"),"callahanxrahm@gmail.com")</f>
        <v>callahanxrahm@gmail.com</v>
      </c>
      <c r="J195" s="10">
        <f>IFERROR((S195+T195+U195)/V195,"")</f>
        <v>5.8554913294797686E-2</v>
      </c>
      <c r="K195" s="9">
        <f>IFERROR(U195/V195,"")</f>
        <v>1.2138728323699422E-3</v>
      </c>
      <c r="L195" s="8">
        <f>IFERROR(MIN(Q195/1000*1.5, 150),"")</f>
        <v>150</v>
      </c>
      <c r="M195" s="7">
        <f>IFERROR(V195/Q195,"")</f>
        <v>6.320789185239313E-2</v>
      </c>
      <c r="N195" s="6">
        <f>IFERROR((S195+U195)/Q195,"")</f>
        <v>3.6865180854950678E-3</v>
      </c>
      <c r="O195" s="6">
        <f>IFERROR(100/(L195+1),"")</f>
        <v>0.66225165562913912</v>
      </c>
      <c r="P195" s="5" t="s">
        <v>639</v>
      </c>
      <c r="Q195" s="4">
        <v>273700</v>
      </c>
      <c r="R195" s="4">
        <v>2007</v>
      </c>
      <c r="S195" s="4">
        <v>988</v>
      </c>
      <c r="T195" s="4">
        <v>4</v>
      </c>
      <c r="U195" s="4">
        <v>21</v>
      </c>
      <c r="V195" s="4">
        <v>17300</v>
      </c>
      <c r="W195" s="4">
        <v>128</v>
      </c>
      <c r="X195" s="1" t="s">
        <v>23</v>
      </c>
      <c r="Y195" s="1" t="s">
        <v>638</v>
      </c>
      <c r="Z195" s="3">
        <v>45900.371493055558</v>
      </c>
      <c r="AA195" s="2" t="s">
        <v>637</v>
      </c>
      <c r="AB195" s="1" t="s">
        <v>636</v>
      </c>
    </row>
    <row r="196" spans="1:28">
      <c r="A196" s="4">
        <v>194</v>
      </c>
      <c r="B196" s="1" t="s">
        <v>635</v>
      </c>
      <c r="C196" s="1" t="s">
        <v>630</v>
      </c>
      <c r="D196" s="5" t="s">
        <v>634</v>
      </c>
      <c r="E196" s="1" t="s">
        <v>633</v>
      </c>
      <c r="F196" s="1" t="s">
        <v>632</v>
      </c>
      <c r="G196" s="10"/>
      <c r="H196" s="10" t="str">
        <f>IF(Q196&lt;100000,"1.마이크로-10만명 미만","2.메가-10만명 이상")</f>
        <v>2.메가-10만명 이상</v>
      </c>
      <c r="I196" s="10" t="str">
        <f ca="1">IFERROR(__xludf.DUMMYFUNCTION("iferror(REGEXEXTRACT(E196,""[a-zA-Z0-9._%+-]+@[a-zA-Z0-9.-]+\.[a-zA-Z]{2,}""),""2.이메일 없음"")"),"catdiscountdiva@yahoo.com")</f>
        <v>catdiscountdiva@yahoo.com</v>
      </c>
      <c r="J196" s="10">
        <f>IFERROR((S196+T196+U196)/V196,"")</f>
        <v>1.5035211267605634E-2</v>
      </c>
      <c r="K196" s="9">
        <f>IFERROR(U196/V196,"")</f>
        <v>4.0492957746478871E-4</v>
      </c>
      <c r="L196" s="8">
        <f>IFERROR(MIN(Q196/1000*1.5, 150),"")</f>
        <v>150</v>
      </c>
      <c r="M196" s="7">
        <f>IFERROR(V196/Q196,"")</f>
        <v>0.3604060913705584</v>
      </c>
      <c r="N196" s="6">
        <f>IFERROR((S196+U196)/Q196,"")</f>
        <v>4.8223350253807111E-3</v>
      </c>
      <c r="O196" s="6">
        <f>IFERROR(100/(L196+1),"")</f>
        <v>0.66225165562913912</v>
      </c>
      <c r="P196" s="5" t="s">
        <v>631</v>
      </c>
      <c r="Q196" s="4">
        <v>157600</v>
      </c>
      <c r="R196" s="4">
        <v>1672</v>
      </c>
      <c r="S196" s="4">
        <v>737</v>
      </c>
      <c r="T196" s="4">
        <v>94</v>
      </c>
      <c r="U196" s="4">
        <v>23</v>
      </c>
      <c r="V196" s="4">
        <v>56800</v>
      </c>
      <c r="W196" s="4">
        <v>14</v>
      </c>
      <c r="X196" s="1" t="s">
        <v>23</v>
      </c>
      <c r="Y196" s="1" t="s">
        <v>630</v>
      </c>
      <c r="Z196" s="3">
        <v>45796.267789351848</v>
      </c>
      <c r="AA196" s="2" t="s">
        <v>629</v>
      </c>
      <c r="AB196" s="1" t="s">
        <v>628</v>
      </c>
    </row>
    <row r="197" spans="1:28">
      <c r="A197" s="4">
        <v>195</v>
      </c>
      <c r="B197" s="1" t="s">
        <v>627</v>
      </c>
      <c r="C197" s="1" t="s">
        <v>626</v>
      </c>
      <c r="D197" s="5" t="s">
        <v>625</v>
      </c>
      <c r="E197" s="1" t="s">
        <v>624</v>
      </c>
      <c r="F197" s="1" t="s">
        <v>623</v>
      </c>
      <c r="G197" s="10"/>
      <c r="H197" s="10" t="str">
        <f>IF(Q197&lt;100000,"1.마이크로-10만명 미만","2.메가-10만명 이상")</f>
        <v>1.마이크로-10만명 미만</v>
      </c>
      <c r="I197" s="10" t="str">
        <f ca="1">IFERROR(__xludf.DUMMYFUNCTION("iferror(REGEXEXTRACT(E197,""[a-zA-Z0-9._%+-]+@[a-zA-Z0-9.-]+\.[a-zA-Z]{2,}""),""2.이메일 없음"")"),"aleynaerzu123@gmail.com")</f>
        <v>aleynaerzu123@gmail.com</v>
      </c>
      <c r="J197" s="10">
        <f>IFERROR((S197+T197+U197)/V197,"")</f>
        <v>0.11846645367412141</v>
      </c>
      <c r="K197" s="9">
        <f>IFERROR(U197/V197,"")</f>
        <v>1.7891373801916933E-3</v>
      </c>
      <c r="L197" s="8">
        <f>IFERROR(MIN(Q197/1000*1.5, 150),"")</f>
        <v>20.549999999999997</v>
      </c>
      <c r="M197" s="7">
        <f>IFERROR(V197/Q197,"")</f>
        <v>0.57116788321167888</v>
      </c>
      <c r="N197" s="6">
        <f>IFERROR((S197+U197)/Q197,"")</f>
        <v>6.4525547445255474E-2</v>
      </c>
      <c r="O197" s="6">
        <f>IFERROR(100/(L197+1),"")</f>
        <v>4.6403712296983768</v>
      </c>
      <c r="P197" s="5" t="s">
        <v>622</v>
      </c>
      <c r="Q197" s="4">
        <v>13700</v>
      </c>
      <c r="R197" s="4">
        <v>1025</v>
      </c>
      <c r="S197" s="4">
        <v>870</v>
      </c>
      <c r="T197" s="4">
        <v>43</v>
      </c>
      <c r="U197" s="4">
        <v>14</v>
      </c>
      <c r="V197" s="4">
        <v>7825</v>
      </c>
      <c r="W197" s="4">
        <v>7</v>
      </c>
      <c r="X197" s="1" t="s">
        <v>621</v>
      </c>
      <c r="Y197" s="1" t="s">
        <v>620</v>
      </c>
      <c r="Z197" s="3">
        <v>45907.252951388888</v>
      </c>
      <c r="AA197" s="2" t="s">
        <v>619</v>
      </c>
      <c r="AB197" s="1" t="s">
        <v>618</v>
      </c>
    </row>
    <row r="198" spans="1:28">
      <c r="A198" s="4">
        <v>196</v>
      </c>
      <c r="B198" s="1" t="s">
        <v>617</v>
      </c>
      <c r="C198" s="1" t="s">
        <v>616</v>
      </c>
      <c r="D198" s="5" t="s">
        <v>615</v>
      </c>
      <c r="E198" s="1" t="s">
        <v>614</v>
      </c>
      <c r="F198" s="1" t="s">
        <v>613</v>
      </c>
      <c r="G198" s="10"/>
      <c r="H198" s="10" t="str">
        <f>IF(Q198&lt;100000,"1.마이크로-10만명 미만","2.메가-10만명 이상")</f>
        <v>2.메가-10만명 이상</v>
      </c>
      <c r="I198" s="10" t="str">
        <f ca="1">IFERROR(__xludf.DUMMYFUNCTION("iferror(REGEXEXTRACT(E198,""[a-zA-Z0-9._%+-]+@[a-zA-Z0-9.-]+\.[a-zA-Z]{2,}""),""2.이메일 없음"")"),"thorton@excelsm.com")</f>
        <v>thorton@excelsm.com</v>
      </c>
      <c r="J198" s="10">
        <f>IFERROR((S198+T198+U198)/V198,"")</f>
        <v>7.2759470280258698E-2</v>
      </c>
      <c r="K198" s="9">
        <f>IFERROR(U198/V198,"")</f>
        <v>1.2380659069910686E-3</v>
      </c>
      <c r="L198" s="8">
        <f>IFERROR(MIN(Q198/1000*1.5, 150),"")</f>
        <v>150</v>
      </c>
      <c r="M198" s="7">
        <f>IFERROR(V198/Q198,"")</f>
        <v>1.3793542905692437</v>
      </c>
      <c r="N198" s="6">
        <f>IFERROR((S198+U198)/Q198,"")</f>
        <v>9.8139337298215806E-2</v>
      </c>
      <c r="O198" s="6">
        <f>IFERROR(100/(L198+1),"")</f>
        <v>0.66225165562913912</v>
      </c>
      <c r="P198" s="5" t="s">
        <v>612</v>
      </c>
      <c r="Q198" s="4">
        <v>235400</v>
      </c>
      <c r="R198" s="4">
        <v>152</v>
      </c>
      <c r="S198" s="4">
        <v>22700</v>
      </c>
      <c r="T198" s="4">
        <v>523</v>
      </c>
      <c r="U198" s="4">
        <v>402</v>
      </c>
      <c r="V198" s="4">
        <v>324700</v>
      </c>
      <c r="W198" s="4">
        <v>15</v>
      </c>
      <c r="X198" s="1" t="s">
        <v>611</v>
      </c>
      <c r="Y198" s="1" t="s">
        <v>610</v>
      </c>
      <c r="Z198" s="3">
        <v>45536.070925925924</v>
      </c>
      <c r="AA198" s="2" t="s">
        <v>609</v>
      </c>
      <c r="AB198" s="1" t="s">
        <v>608</v>
      </c>
    </row>
    <row r="199" spans="1:28">
      <c r="A199" s="4">
        <v>197</v>
      </c>
      <c r="B199" s="1" t="s">
        <v>164</v>
      </c>
      <c r="C199" s="1" t="s">
        <v>159</v>
      </c>
      <c r="D199" s="5" t="s">
        <v>163</v>
      </c>
      <c r="E199" s="1" t="s">
        <v>162</v>
      </c>
      <c r="F199" s="1" t="s">
        <v>607</v>
      </c>
      <c r="G199" s="10"/>
      <c r="H199" s="10" t="str">
        <f>IF(Q199&lt;100000,"1.마이크로-10만명 미만","2.메가-10만명 이상")</f>
        <v>2.메가-10만명 이상</v>
      </c>
      <c r="I199" s="10" t="str">
        <f ca="1">IFERROR(__xludf.DUMMYFUNCTION("iferror(REGEXEXTRACT(E199,""[a-zA-Z0-9._%+-]+@[a-zA-Z0-9.-]+\.[a-zA-Z]{2,}""),""2.이메일 없음"")"),"2.이메일 없음")</f>
        <v>2.이메일 없음</v>
      </c>
      <c r="J199" s="10">
        <f>IFERROR((S199+T199+U199)/V199,"")</f>
        <v>6.6993125000000001E-2</v>
      </c>
      <c r="K199" s="9">
        <f>IFERROR(U199/V199,"")</f>
        <v>8.1249999999999996E-5</v>
      </c>
      <c r="L199" s="8">
        <f>IFERROR(MIN(Q199/1000*1.5, 150),"")</f>
        <v>150</v>
      </c>
      <c r="M199" s="7">
        <f>IFERROR(V199/Q199,"")</f>
        <v>1.0666666666666667</v>
      </c>
      <c r="N199" s="6">
        <f>IFERROR((S199+U199)/Q199,"")</f>
        <v>6.9486666666666669E-2</v>
      </c>
      <c r="O199" s="6">
        <f>IFERROR(100/(L199+1),"")</f>
        <v>0.66225165562913912</v>
      </c>
      <c r="P199" s="5" t="s">
        <v>606</v>
      </c>
      <c r="Q199" s="4">
        <v>1500000</v>
      </c>
      <c r="R199" s="4">
        <v>2263</v>
      </c>
      <c r="S199" s="4">
        <v>104100</v>
      </c>
      <c r="T199" s="4">
        <v>2959</v>
      </c>
      <c r="U199" s="4">
        <v>130</v>
      </c>
      <c r="V199" s="4">
        <v>1600000</v>
      </c>
      <c r="W199" s="4">
        <v>6</v>
      </c>
      <c r="X199" s="1" t="s">
        <v>605</v>
      </c>
      <c r="Y199" s="1" t="s">
        <v>604</v>
      </c>
      <c r="Z199" s="3">
        <v>45712.381886574076</v>
      </c>
      <c r="AA199" s="2" t="s">
        <v>603</v>
      </c>
      <c r="AB199" s="1" t="s">
        <v>157</v>
      </c>
    </row>
    <row r="200" spans="1:28">
      <c r="A200" s="4">
        <v>198</v>
      </c>
      <c r="B200" s="1" t="s">
        <v>602</v>
      </c>
      <c r="C200" s="1" t="s">
        <v>601</v>
      </c>
      <c r="D200" s="5" t="s">
        <v>600</v>
      </c>
      <c r="E200" s="1" t="s">
        <v>599</v>
      </c>
      <c r="F200" s="1" t="s">
        <v>598</v>
      </c>
      <c r="G200" s="10"/>
      <c r="H200" s="10" t="str">
        <f>IF(Q200&lt;100000,"1.마이크로-10만명 미만","2.메가-10만명 이상")</f>
        <v>2.메가-10만명 이상</v>
      </c>
      <c r="I200" s="10" t="str">
        <f ca="1">IFERROR(__xludf.DUMMYFUNCTION("iferror(REGEXEXTRACT(E200,""[a-zA-Z0-9._%+-]+@[a-zA-Z0-9.-]+\.[a-zA-Z]{2,}""),""2.이메일 없음"")"),"2.이메일 없음")</f>
        <v>2.이메일 없음</v>
      </c>
      <c r="J200" s="10">
        <f>IFERROR((S200+T200+U200)/V200,"")</f>
        <v>0.1471178125</v>
      </c>
      <c r="K200" s="9">
        <f>IFERROR(U200/V200,"")</f>
        <v>1.55625E-4</v>
      </c>
      <c r="L200" s="8">
        <f>IFERROR(MIN(Q200/1000*1.5, 150),"")</f>
        <v>150</v>
      </c>
      <c r="M200" s="7">
        <f>IFERROR(V200/Q200,"")</f>
        <v>1.032258064516129</v>
      </c>
      <c r="N200" s="6">
        <f>IFERROR((S200+U200)/Q200,"")</f>
        <v>0.14974129032258066</v>
      </c>
      <c r="O200" s="6">
        <f>IFERROR(100/(L200+1),"")</f>
        <v>0.66225165562913912</v>
      </c>
      <c r="P200" s="5" t="s">
        <v>597</v>
      </c>
      <c r="Q200" s="4">
        <v>3100000</v>
      </c>
      <c r="R200" s="4">
        <v>672</v>
      </c>
      <c r="S200" s="4">
        <v>463700</v>
      </c>
      <c r="T200" s="4">
        <v>6579</v>
      </c>
      <c r="U200" s="4">
        <v>498</v>
      </c>
      <c r="V200" s="4">
        <v>3200000</v>
      </c>
      <c r="W200" s="4">
        <v>8</v>
      </c>
      <c r="X200" s="1" t="s">
        <v>596</v>
      </c>
      <c r="Y200" s="1" t="s">
        <v>595</v>
      </c>
      <c r="Z200" s="3">
        <v>45147.249409722222</v>
      </c>
      <c r="AA200" s="2" t="s">
        <v>594</v>
      </c>
      <c r="AB200" s="1" t="s">
        <v>593</v>
      </c>
    </row>
    <row r="201" spans="1:28">
      <c r="A201" s="4">
        <v>199</v>
      </c>
      <c r="B201" s="1" t="s">
        <v>592</v>
      </c>
      <c r="C201" s="1" t="s">
        <v>591</v>
      </c>
      <c r="D201" s="5" t="s">
        <v>590</v>
      </c>
      <c r="E201" s="1" t="s">
        <v>589</v>
      </c>
      <c r="F201" s="1" t="s">
        <v>588</v>
      </c>
      <c r="G201" s="10"/>
      <c r="H201" s="10" t="str">
        <f>IF(Q201&lt;100000,"1.마이크로-10만명 미만","2.메가-10만명 이상")</f>
        <v>1.마이크로-10만명 미만</v>
      </c>
      <c r="I201" s="10" t="str">
        <f ca="1">IFERROR(__xludf.DUMMYFUNCTION("iferror(REGEXEXTRACT(E201,""[a-zA-Z0-9._%+-]+@[a-zA-Z0-9.-]+\.[a-zA-Z]{2,}""),""2.이메일 없음"")"),"abigail.creator@gmail.com")</f>
        <v>abigail.creator@gmail.com</v>
      </c>
      <c r="J201" s="10">
        <f>IFERROR((S201+T201+U201)/V201,"")</f>
        <v>3.2574272357110544E-2</v>
      </c>
      <c r="K201" s="9">
        <f>IFERROR(U201/V201,"")</f>
        <v>7.5403408234052177E-4</v>
      </c>
      <c r="L201" s="8">
        <f>IFERROR(MIN(Q201/1000*1.5, 150),"")</f>
        <v>2.661</v>
      </c>
      <c r="M201" s="7">
        <f>IFERROR(V201/Q201,"")</f>
        <v>3.7378804960541152</v>
      </c>
      <c r="N201" s="6">
        <f>IFERROR((S201+U201)/Q201,"")</f>
        <v>0.11668545659526494</v>
      </c>
      <c r="O201" s="6">
        <f>IFERROR(100/(L201+1),"")</f>
        <v>27.314941272876265</v>
      </c>
      <c r="P201" s="5" t="s">
        <v>587</v>
      </c>
      <c r="Q201" s="4">
        <v>1774</v>
      </c>
      <c r="R201" s="4">
        <v>222</v>
      </c>
      <c r="S201" s="4">
        <v>202</v>
      </c>
      <c r="T201" s="4">
        <v>9</v>
      </c>
      <c r="U201" s="4">
        <v>5</v>
      </c>
      <c r="V201" s="4">
        <v>6631</v>
      </c>
      <c r="W201" s="4">
        <v>15</v>
      </c>
      <c r="X201" s="1" t="s">
        <v>23</v>
      </c>
      <c r="Y201" s="1" t="s">
        <v>586</v>
      </c>
      <c r="Z201" s="3">
        <v>45896.002812500003</v>
      </c>
      <c r="AA201" s="2" t="s">
        <v>585</v>
      </c>
      <c r="AB201" s="1" t="s">
        <v>584</v>
      </c>
    </row>
    <row r="202" spans="1:28">
      <c r="A202" s="4">
        <v>200</v>
      </c>
      <c r="B202" s="1" t="s">
        <v>583</v>
      </c>
      <c r="C202" s="1" t="s">
        <v>578</v>
      </c>
      <c r="D202" s="5" t="s">
        <v>582</v>
      </c>
      <c r="E202" s="1" t="s">
        <v>581</v>
      </c>
      <c r="F202" s="1" t="s">
        <v>580</v>
      </c>
      <c r="G202" s="10"/>
      <c r="H202" s="10" t="str">
        <f>IF(Q202&lt;100000,"1.마이크로-10만명 미만","2.메가-10만명 이상")</f>
        <v>1.마이크로-10만명 미만</v>
      </c>
      <c r="I202" s="10" t="str">
        <f ca="1">IFERROR(__xludf.DUMMYFUNCTION("iferror(REGEXEXTRACT(E202,""[a-zA-Z0-9._%+-]+@[a-zA-Z0-9.-]+\.[a-zA-Z]{2,}""),""2.이메일 없음"")"),"Zoe@hannahleelifestyle.com")</f>
        <v>Zoe@hannahleelifestyle.com</v>
      </c>
      <c r="J202" s="10">
        <f>IFERROR((S202+T202+U202)/V202,"")</f>
        <v>1.6368421052631577E-2</v>
      </c>
      <c r="K202" s="9">
        <f>IFERROR(U202/V202,"")</f>
        <v>4.7368421052631577E-4</v>
      </c>
      <c r="L202" s="8">
        <f>IFERROR(MIN(Q202/1000*1.5, 150),"")</f>
        <v>116.25</v>
      </c>
      <c r="M202" s="7">
        <f>IFERROR(V202/Q202,"")</f>
        <v>0.24516129032258063</v>
      </c>
      <c r="N202" s="6">
        <f>IFERROR((S202+U202)/Q202,"")</f>
        <v>3.9483870967741939E-3</v>
      </c>
      <c r="O202" s="6">
        <f>IFERROR(100/(L202+1),"")</f>
        <v>0.85287846481876328</v>
      </c>
      <c r="P202" s="5" t="s">
        <v>579</v>
      </c>
      <c r="Q202" s="4">
        <v>77500</v>
      </c>
      <c r="R202" s="4">
        <v>1623</v>
      </c>
      <c r="S202" s="4">
        <v>297</v>
      </c>
      <c r="T202" s="4">
        <v>5</v>
      </c>
      <c r="U202" s="4">
        <v>9</v>
      </c>
      <c r="V202" s="4">
        <v>19000</v>
      </c>
      <c r="W202" s="4">
        <v>64</v>
      </c>
      <c r="X202" s="1" t="s">
        <v>23</v>
      </c>
      <c r="Y202" s="1" t="s">
        <v>578</v>
      </c>
      <c r="Z202" s="3">
        <v>45191.114965277775</v>
      </c>
      <c r="AA202" s="2" t="s">
        <v>577</v>
      </c>
      <c r="AB202" s="1" t="s">
        <v>576</v>
      </c>
    </row>
    <row r="203" spans="1:28">
      <c r="A203" s="4">
        <v>201</v>
      </c>
      <c r="B203" s="1" t="s">
        <v>575</v>
      </c>
      <c r="C203" s="1" t="s">
        <v>574</v>
      </c>
      <c r="D203" s="5" t="s">
        <v>573</v>
      </c>
      <c r="E203" s="1" t="s">
        <v>572</v>
      </c>
      <c r="F203" s="1" t="s">
        <v>571</v>
      </c>
      <c r="G203" s="10"/>
      <c r="H203" s="10" t="str">
        <f>IF(Q203&lt;100000,"1.마이크로-10만명 미만","2.메가-10만명 이상")</f>
        <v>2.메가-10만명 이상</v>
      </c>
      <c r="I203" s="10" t="str">
        <f ca="1">IFERROR(__xludf.DUMMYFUNCTION("iferror(REGEXEXTRACT(E203,""[a-zA-Z0-9._%+-]+@[a-zA-Z0-9.-]+\.[a-zA-Z]{2,}""),""2.이메일 없음"")"),"2.이메일 없음")</f>
        <v>2.이메일 없음</v>
      </c>
      <c r="J203" s="10">
        <f>IFERROR((S203+T203+U203)/V203,"")</f>
        <v>7.8607714285714281E-2</v>
      </c>
      <c r="K203" s="9">
        <f>IFERROR(U203/V203,"")</f>
        <v>1.6057142857142857E-4</v>
      </c>
      <c r="L203" s="8">
        <f>IFERROR(MIN(Q203/1000*1.5, 150),"")</f>
        <v>150</v>
      </c>
      <c r="M203" s="7">
        <f>IFERROR(V203/Q203,"")</f>
        <v>0.76086956521739135</v>
      </c>
      <c r="N203" s="6">
        <f>IFERROR((S203+U203)/Q203,"")</f>
        <v>5.9622173913043482E-2</v>
      </c>
      <c r="O203" s="6">
        <f>IFERROR(100/(L203+1),"")</f>
        <v>0.66225165562913912</v>
      </c>
      <c r="P203" s="5" t="s">
        <v>570</v>
      </c>
      <c r="Q203" s="4">
        <v>4600000</v>
      </c>
      <c r="R203" s="4">
        <v>1715</v>
      </c>
      <c r="S203" s="4">
        <v>273700</v>
      </c>
      <c r="T203" s="4">
        <v>865</v>
      </c>
      <c r="U203" s="4">
        <v>562</v>
      </c>
      <c r="V203" s="4">
        <v>3500000</v>
      </c>
      <c r="W203" s="4">
        <v>34</v>
      </c>
      <c r="X203" s="1" t="s">
        <v>569</v>
      </c>
      <c r="Y203" s="1" t="s">
        <v>568</v>
      </c>
      <c r="Z203" s="3">
        <v>45699.360914351855</v>
      </c>
      <c r="AA203" s="2" t="s">
        <v>567</v>
      </c>
      <c r="AB203" s="1" t="s">
        <v>566</v>
      </c>
    </row>
    <row r="204" spans="1:28">
      <c r="A204" s="4">
        <v>202</v>
      </c>
      <c r="B204" s="1" t="s">
        <v>565</v>
      </c>
      <c r="C204" s="1" t="s">
        <v>560</v>
      </c>
      <c r="D204" s="5" t="s">
        <v>564</v>
      </c>
      <c r="E204" s="1" t="s">
        <v>563</v>
      </c>
      <c r="F204" s="1" t="s">
        <v>562</v>
      </c>
      <c r="G204" s="10"/>
      <c r="H204" s="10" t="str">
        <f>IF(Q204&lt;100000,"1.마이크로-10만명 미만","2.메가-10만명 이상")</f>
        <v>2.메가-10만명 이상</v>
      </c>
      <c r="I204" s="10" t="str">
        <f ca="1">IFERROR(__xludf.DUMMYFUNCTION("iferror(REGEXEXTRACT(E204,""[a-zA-Z0-9._%+-]+@[a-zA-Z0-9.-]+\.[a-zA-Z]{2,}""),""2.이메일 없음"")"),"josie@wmgmt.co.uk")</f>
        <v>josie@wmgmt.co.uk</v>
      </c>
      <c r="J204" s="10">
        <f>IFERROR((S204+T204+U204)/V204,"")</f>
        <v>9.0438247011952189E-2</v>
      </c>
      <c r="K204" s="9">
        <f>IFERROR(U204/V204,"")</f>
        <v>9.1633466135458165E-4</v>
      </c>
      <c r="L204" s="8">
        <f>IFERROR(MIN(Q204/1000*1.5, 150),"")</f>
        <v>150</v>
      </c>
      <c r="M204" s="7">
        <f>IFERROR(V204/Q204,"")</f>
        <v>0.22350845948352627</v>
      </c>
      <c r="N204" s="6">
        <f>IFERROR((S204+U204)/Q204,"")</f>
        <v>1.9973285841495991E-2</v>
      </c>
      <c r="O204" s="6">
        <f>IFERROR(100/(L204+1),"")</f>
        <v>0.66225165562913912</v>
      </c>
      <c r="P204" s="5" t="s">
        <v>561</v>
      </c>
      <c r="Q204" s="4">
        <v>112300</v>
      </c>
      <c r="R204" s="4">
        <v>803</v>
      </c>
      <c r="S204" s="4">
        <v>2220</v>
      </c>
      <c r="T204" s="4">
        <v>27</v>
      </c>
      <c r="U204" s="4">
        <v>23</v>
      </c>
      <c r="V204" s="4">
        <v>25100</v>
      </c>
      <c r="W204" s="4">
        <v>61</v>
      </c>
      <c r="X204" s="1" t="s">
        <v>23</v>
      </c>
      <c r="Y204" s="1" t="s">
        <v>560</v>
      </c>
      <c r="Z204" s="3">
        <v>45906.96261574074</v>
      </c>
      <c r="AA204" s="2" t="s">
        <v>559</v>
      </c>
      <c r="AB204" s="1" t="s">
        <v>558</v>
      </c>
    </row>
    <row r="205" spans="1:28">
      <c r="A205" s="4">
        <v>203</v>
      </c>
      <c r="B205" s="1" t="s">
        <v>557</v>
      </c>
      <c r="C205" s="1" t="s">
        <v>557</v>
      </c>
      <c r="D205" s="5" t="s">
        <v>556</v>
      </c>
      <c r="E205" s="1" t="s">
        <v>555</v>
      </c>
      <c r="F205" s="1" t="s">
        <v>554</v>
      </c>
      <c r="G205" s="10"/>
      <c r="H205" s="10" t="str">
        <f>IF(Q205&lt;100000,"1.마이크로-10만명 미만","2.메가-10만명 이상")</f>
        <v>2.메가-10만명 이상</v>
      </c>
      <c r="I205" s="10" t="str">
        <f ca="1">IFERROR(__xludf.DUMMYFUNCTION("iferror(REGEXEXTRACT(E205,""[a-zA-Z0-9._%+-]+@[a-zA-Z0-9.-]+\.[a-zA-Z]{2,}""),""2.이메일 없음"")"),"hausofsos@icloud.com")</f>
        <v>hausofsos@icloud.com</v>
      </c>
      <c r="J205" s="10">
        <f>IFERROR((S205+T205+U205)/V205,"")</f>
        <v>8.48E-2</v>
      </c>
      <c r="K205" s="9">
        <f>IFERROR(U205/V205,"")</f>
        <v>2.7096774193548386E-4</v>
      </c>
      <c r="L205" s="8">
        <f>IFERROR(MIN(Q205/1000*1.5, 150),"")</f>
        <v>150</v>
      </c>
      <c r="M205" s="7">
        <f>IFERROR(V205/Q205,"")</f>
        <v>0.25569119102606402</v>
      </c>
      <c r="N205" s="6">
        <f>IFERROR((S205+U205)/Q205,"")</f>
        <v>2.1435169910920489E-2</v>
      </c>
      <c r="O205" s="6">
        <f>IFERROR(100/(L205+1),"")</f>
        <v>0.66225165562913912</v>
      </c>
      <c r="P205" s="5" t="s">
        <v>553</v>
      </c>
      <c r="Q205" s="4">
        <v>303100</v>
      </c>
      <c r="R205" s="4">
        <v>576</v>
      </c>
      <c r="S205" s="4">
        <v>6476</v>
      </c>
      <c r="T205" s="4">
        <v>75</v>
      </c>
      <c r="U205" s="4">
        <v>21</v>
      </c>
      <c r="V205" s="4">
        <v>77500</v>
      </c>
      <c r="W205" s="4">
        <v>15</v>
      </c>
      <c r="X205" s="1" t="s">
        <v>65</v>
      </c>
      <c r="Y205" s="1" t="s">
        <v>64</v>
      </c>
      <c r="Z205" s="3">
        <v>45805.063194444447</v>
      </c>
      <c r="AA205" s="2" t="s">
        <v>552</v>
      </c>
      <c r="AB205" s="1" t="s">
        <v>551</v>
      </c>
    </row>
    <row r="206" spans="1:28">
      <c r="A206" s="4">
        <v>204</v>
      </c>
      <c r="B206" s="1" t="s">
        <v>550</v>
      </c>
      <c r="C206" s="1" t="s">
        <v>549</v>
      </c>
      <c r="D206" s="5" t="s">
        <v>548</v>
      </c>
      <c r="E206" s="1" t="s">
        <v>547</v>
      </c>
      <c r="F206" s="1" t="s">
        <v>546</v>
      </c>
      <c r="G206" s="10"/>
      <c r="H206" s="10" t="str">
        <f>IF(Q206&lt;100000,"1.마이크로-10만명 미만","2.메가-10만명 이상")</f>
        <v>1.마이크로-10만명 미만</v>
      </c>
      <c r="I206" s="10" t="str">
        <f ca="1">IFERROR(__xludf.DUMMYFUNCTION("iferror(REGEXEXTRACT(E206,""[a-zA-Z0-9._%+-]+@[a-zA-Z0-9.-]+\.[a-zA-Z]{2,}""),""2.이메일 없음"")"),"2.이메일 없음")</f>
        <v>2.이메일 없음</v>
      </c>
      <c r="J206" s="10">
        <f>IFERROR((S206+T206+U206)/V206,"")</f>
        <v>7.9319148936170217E-2</v>
      </c>
      <c r="K206" s="9">
        <f>IFERROR(U206/V206,"")</f>
        <v>3.5106382978723402E-4</v>
      </c>
      <c r="L206" s="8">
        <f>IFERROR(MIN(Q206/1000*1.5, 150),"")</f>
        <v>70.050000000000011</v>
      </c>
      <c r="M206" s="7">
        <f>IFERROR(V206/Q206,"")</f>
        <v>2.0128479657387581</v>
      </c>
      <c r="N206" s="6">
        <f>IFERROR((S206+U206)/Q206,"")</f>
        <v>0.15576017130620984</v>
      </c>
      <c r="O206" s="6">
        <f>IFERROR(100/(L206+1),"")</f>
        <v>1.407459535538353</v>
      </c>
      <c r="P206" s="5" t="s">
        <v>545</v>
      </c>
      <c r="Q206" s="4">
        <v>46700</v>
      </c>
      <c r="R206" s="4">
        <v>224</v>
      </c>
      <c r="S206" s="4">
        <v>7241</v>
      </c>
      <c r="T206" s="4">
        <v>182</v>
      </c>
      <c r="U206" s="4">
        <v>33</v>
      </c>
      <c r="V206" s="4">
        <v>94000</v>
      </c>
      <c r="W206" s="4">
        <v>9</v>
      </c>
      <c r="X206" s="1" t="s">
        <v>23</v>
      </c>
      <c r="Y206" s="1" t="s">
        <v>544</v>
      </c>
      <c r="Z206" s="3">
        <v>45853.899282407408</v>
      </c>
      <c r="AA206" s="2" t="s">
        <v>543</v>
      </c>
      <c r="AB206" s="1" t="s">
        <v>542</v>
      </c>
    </row>
    <row r="207" spans="1:28">
      <c r="A207" s="4">
        <v>205</v>
      </c>
      <c r="B207" s="1" t="s">
        <v>541</v>
      </c>
      <c r="C207" s="1" t="s">
        <v>536</v>
      </c>
      <c r="D207" s="5" t="s">
        <v>540</v>
      </c>
      <c r="E207" s="1" t="s">
        <v>539</v>
      </c>
      <c r="F207" s="1" t="s">
        <v>538</v>
      </c>
      <c r="G207" s="10"/>
      <c r="H207" s="10" t="str">
        <f>IF(Q207&lt;100000,"1.마이크로-10만명 미만","2.메가-10만명 이상")</f>
        <v>2.메가-10만명 이상</v>
      </c>
      <c r="I207" s="10" t="str">
        <f ca="1">IFERROR(__xludf.DUMMYFUNCTION("iferror(REGEXEXTRACT(E207,""[a-zA-Z0-9._%+-]+@[a-zA-Z0-9.-]+\.[a-zA-Z]{2,}""),""2.이메일 없음"")"),"2.이메일 없음")</f>
        <v>2.이메일 없음</v>
      </c>
      <c r="J207" s="10">
        <f>IFERROR((S207+T207+U207)/V207,"")</f>
        <v>8.8629425138031834E-2</v>
      </c>
      <c r="K207" s="9">
        <f>IFERROR(U207/V207,"")</f>
        <v>1.0555375121792791E-3</v>
      </c>
      <c r="L207" s="8">
        <f>IFERROR(MIN(Q207/1000*1.5, 150),"")</f>
        <v>150</v>
      </c>
      <c r="M207" s="7">
        <f>IFERROR(V207/Q207,"")</f>
        <v>6.0372549019607841E-2</v>
      </c>
      <c r="N207" s="6">
        <f>IFERROR((S207+U207)/Q207,"")</f>
        <v>4.7499999999999999E-3</v>
      </c>
      <c r="O207" s="6">
        <f>IFERROR(100/(L207+1),"")</f>
        <v>0.66225165562913912</v>
      </c>
      <c r="P207" s="5" t="s">
        <v>537</v>
      </c>
      <c r="Q207" s="4">
        <v>5100000</v>
      </c>
      <c r="R207" s="4">
        <v>2231</v>
      </c>
      <c r="S207" s="4">
        <v>23900</v>
      </c>
      <c r="T207" s="4">
        <v>3064</v>
      </c>
      <c r="U207" s="4">
        <v>325</v>
      </c>
      <c r="V207" s="4">
        <v>307900</v>
      </c>
      <c r="W207" s="4">
        <v>84</v>
      </c>
      <c r="X207" s="1" t="s">
        <v>23</v>
      </c>
      <c r="Y207" s="1" t="s">
        <v>536</v>
      </c>
      <c r="Z207" s="3">
        <v>45899.022870370369</v>
      </c>
      <c r="AA207" s="2" t="s">
        <v>535</v>
      </c>
      <c r="AB207" s="1" t="s">
        <v>534</v>
      </c>
    </row>
    <row r="208" spans="1:28">
      <c r="A208" s="4">
        <v>206</v>
      </c>
      <c r="B208" s="1" t="s">
        <v>533</v>
      </c>
      <c r="C208" s="1" t="s">
        <v>532</v>
      </c>
      <c r="D208" s="5" t="s">
        <v>531</v>
      </c>
      <c r="E208" s="1" t="s">
        <v>530</v>
      </c>
      <c r="F208" s="1" t="s">
        <v>529</v>
      </c>
      <c r="G208" s="10"/>
      <c r="H208" s="10" t="str">
        <f>IF(Q208&lt;100000,"1.마이크로-10만명 미만","2.메가-10만명 이상")</f>
        <v>2.메가-10만명 이상</v>
      </c>
      <c r="I208" s="10" t="str">
        <f ca="1">IFERROR(__xludf.DUMMYFUNCTION("iferror(REGEXEXTRACT(E208,""[a-zA-Z0-9._%+-]+@[a-zA-Z0-9.-]+\.[a-zA-Z]{2,}""),""2.이메일 없음"")"),"eliza@cadence-talent.com")</f>
        <v>eliza@cadence-talent.com</v>
      </c>
      <c r="J208" s="10">
        <f>IFERROR((S208+T208+U208)/V208,"")</f>
        <v>0.1012769696969697</v>
      </c>
      <c r="K208" s="9">
        <f>IFERROR(U208/V208,"")</f>
        <v>4.7393939393939395E-4</v>
      </c>
      <c r="L208" s="8">
        <f>IFERROR(MIN(Q208/1000*1.5, 150),"")</f>
        <v>150</v>
      </c>
      <c r="M208" s="7">
        <f>IFERROR(V208/Q208,"")</f>
        <v>2.5384615384615383</v>
      </c>
      <c r="N208" s="6">
        <f>IFERROR((S208+U208)/Q208,"")</f>
        <v>0.24951076923076923</v>
      </c>
      <c r="O208" s="6">
        <f>IFERROR(100/(L208+1),"")</f>
        <v>0.66225165562913912</v>
      </c>
      <c r="P208" s="5" t="s">
        <v>528</v>
      </c>
      <c r="Q208" s="4">
        <v>2600000</v>
      </c>
      <c r="R208" s="4">
        <v>2586</v>
      </c>
      <c r="S208" s="4">
        <v>645600</v>
      </c>
      <c r="T208" s="4">
        <v>19700</v>
      </c>
      <c r="U208" s="4">
        <v>3128</v>
      </c>
      <c r="V208" s="4">
        <v>6600000</v>
      </c>
      <c r="W208" s="4">
        <v>15</v>
      </c>
      <c r="X208" s="1" t="s">
        <v>23</v>
      </c>
      <c r="Y208" s="1" t="s">
        <v>527</v>
      </c>
      <c r="Z208" s="3">
        <v>45651.368645833332</v>
      </c>
      <c r="AA208" s="2" t="s">
        <v>526</v>
      </c>
      <c r="AB208" s="1" t="s">
        <v>525</v>
      </c>
    </row>
    <row r="209" spans="1:28">
      <c r="A209" s="4">
        <v>207</v>
      </c>
      <c r="B209" s="1" t="s">
        <v>524</v>
      </c>
      <c r="C209" s="1" t="s">
        <v>523</v>
      </c>
      <c r="D209" s="5" t="s">
        <v>522</v>
      </c>
      <c r="E209" s="1" t="s">
        <v>521</v>
      </c>
      <c r="F209" s="1" t="s">
        <v>520</v>
      </c>
      <c r="G209" s="10"/>
      <c r="H209" s="10" t="str">
        <f>IF(Q209&lt;100000,"1.마이크로-10만명 미만","2.메가-10만명 이상")</f>
        <v>1.마이크로-10만명 미만</v>
      </c>
      <c r="I209" s="10" t="str">
        <f ca="1">IFERROR(__xludf.DUMMYFUNCTION("iferror(REGEXEXTRACT(E209,""[a-zA-Z0-9._%+-]+@[a-zA-Z0-9.-]+\.[a-zA-Z]{2,}""),""2.이메일 없음"")"),"2.이메일 없음")</f>
        <v>2.이메일 없음</v>
      </c>
      <c r="J209" s="10">
        <f>IFERROR((S209+T209+U209)/V209,"")</f>
        <v>4.3196544276457881E-2</v>
      </c>
      <c r="K209" s="9">
        <f>IFERROR(U209/V209,"")</f>
        <v>4.3196544276457886E-3</v>
      </c>
      <c r="L209" s="8">
        <f>IFERROR(MIN(Q209/1000*1.5, 150),"")</f>
        <v>0.13650000000000001</v>
      </c>
      <c r="M209" s="7">
        <f>IFERROR(V209/Q209,"")</f>
        <v>5.0879120879120876</v>
      </c>
      <c r="N209" s="6">
        <f>IFERROR((S209+U209)/Q209,"")</f>
        <v>0.19780219780219779</v>
      </c>
      <c r="O209" s="6">
        <f>IFERROR(100/(L209+1),"")</f>
        <v>87.989441267047951</v>
      </c>
      <c r="P209" s="5" t="s">
        <v>519</v>
      </c>
      <c r="Q209" s="4">
        <v>91</v>
      </c>
      <c r="R209" s="4">
        <v>12</v>
      </c>
      <c r="S209" s="4">
        <v>16</v>
      </c>
      <c r="T209" s="4">
        <v>2</v>
      </c>
      <c r="U209" s="4">
        <v>2</v>
      </c>
      <c r="V209" s="4">
        <v>463</v>
      </c>
      <c r="W209" s="4">
        <v>6</v>
      </c>
      <c r="X209" s="1" t="s">
        <v>132</v>
      </c>
      <c r="Y209" s="1" t="s">
        <v>131</v>
      </c>
      <c r="Z209" s="3">
        <v>45910.249722222223</v>
      </c>
      <c r="AA209" s="2" t="s">
        <v>518</v>
      </c>
      <c r="AB209" s="1" t="s">
        <v>517</v>
      </c>
    </row>
    <row r="210" spans="1:28">
      <c r="A210" s="4">
        <v>208</v>
      </c>
      <c r="B210" s="1" t="s">
        <v>516</v>
      </c>
      <c r="C210" s="1" t="s">
        <v>515</v>
      </c>
      <c r="D210" s="5" t="s">
        <v>514</v>
      </c>
      <c r="E210" s="1" t="s">
        <v>513</v>
      </c>
      <c r="F210" s="1" t="s">
        <v>512</v>
      </c>
      <c r="G210" s="10"/>
      <c r="H210" s="10" t="str">
        <f>IF(Q210&lt;100000,"1.마이크로-10만명 미만","2.메가-10만명 이상")</f>
        <v>2.메가-10만명 이상</v>
      </c>
      <c r="I210" s="10" t="str">
        <f ca="1">IFERROR(__xludf.DUMMYFUNCTION("iferror(REGEXEXTRACT(E210,""[a-zA-Z0-9._%+-]+@[a-zA-Z0-9.-]+\.[a-zA-Z]{2,}""),""2.이메일 없음"")"),"Daylancollaborations@gmail.com")</f>
        <v>Daylancollaborations@gmail.com</v>
      </c>
      <c r="J210" s="10">
        <f>IFERROR((S210+T210+U210)/V210,"")</f>
        <v>7.6267857142857137E-2</v>
      </c>
      <c r="K210" s="9">
        <f>IFERROR(U210/V210,"")</f>
        <v>4.1071428571428574E-4</v>
      </c>
      <c r="L210" s="8">
        <f>IFERROR(MIN(Q210/1000*1.5, 150),"")</f>
        <v>150</v>
      </c>
      <c r="M210" s="7">
        <f>IFERROR(V210/Q210,"")</f>
        <v>6.5298507462686561E-2</v>
      </c>
      <c r="N210" s="6">
        <f>IFERROR((S210+U210)/Q210,"")</f>
        <v>4.9195429104477613E-3</v>
      </c>
      <c r="O210" s="6">
        <f>IFERROR(100/(L210+1),"")</f>
        <v>0.66225165562913912</v>
      </c>
      <c r="P210" s="5" t="s">
        <v>511</v>
      </c>
      <c r="Q210" s="4">
        <v>857600</v>
      </c>
      <c r="R210" s="4">
        <v>1773</v>
      </c>
      <c r="S210" s="4">
        <v>4196</v>
      </c>
      <c r="T210" s="4">
        <v>52</v>
      </c>
      <c r="U210" s="4">
        <v>23</v>
      </c>
      <c r="V210" s="4">
        <v>56000</v>
      </c>
      <c r="W210" s="4">
        <v>7</v>
      </c>
      <c r="X210" s="1" t="s">
        <v>510</v>
      </c>
      <c r="Y210" s="1" t="s">
        <v>509</v>
      </c>
      <c r="Z210" s="3">
        <v>45145.433622685188</v>
      </c>
      <c r="AA210" s="2" t="s">
        <v>508</v>
      </c>
      <c r="AB210" s="1" t="s">
        <v>507</v>
      </c>
    </row>
    <row r="211" spans="1:28">
      <c r="A211" s="4">
        <v>209</v>
      </c>
      <c r="B211" s="1" t="s">
        <v>506</v>
      </c>
      <c r="C211" s="1" t="s">
        <v>505</v>
      </c>
      <c r="D211" s="5" t="s">
        <v>504</v>
      </c>
      <c r="E211" s="1" t="s">
        <v>503</v>
      </c>
      <c r="F211" s="1" t="s">
        <v>502</v>
      </c>
      <c r="G211" s="10"/>
      <c r="H211" s="10" t="str">
        <f>IF(Q211&lt;100000,"1.마이크로-10만명 미만","2.메가-10만명 이상")</f>
        <v>1.마이크로-10만명 미만</v>
      </c>
      <c r="I211" s="10" t="str">
        <f ca="1">IFERROR(__xludf.DUMMYFUNCTION("iferror(REGEXEXTRACT(E211,""[a-zA-Z0-9._%+-]+@[a-zA-Z0-9.-]+\.[a-zA-Z]{2,}""),""2.이메일 없음"")"),"contact@liloulikes.co.uk")</f>
        <v>contact@liloulikes.co.uk</v>
      </c>
      <c r="J211" s="10">
        <f>IFERROR((S211+T211+U211)/V211,"")</f>
        <v>0.10068649885583524</v>
      </c>
      <c r="K211" s="9">
        <f>IFERROR(U211/V211,"")</f>
        <v>1.1441647597254004E-2</v>
      </c>
      <c r="L211" s="8">
        <f>IFERROR(MIN(Q211/1000*1.5, 150),"")</f>
        <v>9.2445000000000004</v>
      </c>
      <c r="M211" s="7">
        <f>IFERROR(V211/Q211,"")</f>
        <v>7.0907025799123807E-2</v>
      </c>
      <c r="N211" s="6">
        <f>IFERROR((S211+U211)/Q211,"")</f>
        <v>7.1393801719941584E-3</v>
      </c>
      <c r="O211" s="6">
        <f>IFERROR(100/(L211+1),"")</f>
        <v>9.7613353506759726</v>
      </c>
      <c r="P211" s="5" t="s">
        <v>501</v>
      </c>
      <c r="Q211" s="4">
        <v>6163</v>
      </c>
      <c r="R211" s="4">
        <v>1241</v>
      </c>
      <c r="S211" s="4">
        <v>39</v>
      </c>
      <c r="T211" s="4">
        <v>0</v>
      </c>
      <c r="U211" s="4">
        <v>5</v>
      </c>
      <c r="V211" s="4">
        <v>437</v>
      </c>
      <c r="W211" s="4">
        <v>5</v>
      </c>
      <c r="X211" s="1" t="s">
        <v>23</v>
      </c>
      <c r="Y211" s="1" t="s">
        <v>500</v>
      </c>
      <c r="Z211" s="3">
        <v>45909.659201388888</v>
      </c>
      <c r="AA211" s="2" t="s">
        <v>499</v>
      </c>
      <c r="AB211" s="1" t="s">
        <v>498</v>
      </c>
    </row>
    <row r="212" spans="1:28">
      <c r="A212" s="4">
        <v>210</v>
      </c>
      <c r="B212" s="1" t="s">
        <v>497</v>
      </c>
      <c r="C212" s="1" t="s">
        <v>496</v>
      </c>
      <c r="D212" s="5" t="s">
        <v>495</v>
      </c>
      <c r="E212" s="14" t="s">
        <v>494</v>
      </c>
      <c r="F212" s="1" t="s">
        <v>493</v>
      </c>
      <c r="G212" s="10"/>
      <c r="H212" s="10" t="str">
        <f>IF(Q212&lt;100000,"1.마이크로-10만명 미만","2.메가-10만명 이상")</f>
        <v>1.마이크로-10만명 미만</v>
      </c>
      <c r="I212" s="10" t="str">
        <f ca="1">IFERROR(__xludf.DUMMYFUNCTION("iferror(REGEXEXTRACT(E212,""[a-zA-Z0-9._%+-]+@[a-zA-Z0-9.-]+\.[a-zA-Z]{2,}""),""2.이메일 없음"")"),"2.이메일 없음")</f>
        <v>2.이메일 없음</v>
      </c>
      <c r="J212" s="10">
        <f>IFERROR((S212+T212+U212)/V212,"")</f>
        <v>0.13352995819786345</v>
      </c>
      <c r="K212" s="9">
        <f>IFERROR(U212/V212,"")</f>
        <v>3.4370645610775664E-4</v>
      </c>
      <c r="L212" s="8">
        <f>IFERROR(MIN(Q212/1000*1.5, 150),"")</f>
        <v>103.64999999999999</v>
      </c>
      <c r="M212" s="7">
        <f>IFERROR(V212/Q212,"")</f>
        <v>12.463096960926194</v>
      </c>
      <c r="N212" s="6">
        <f>IFERROR((S212+U212)/Q212,"")</f>
        <v>1.4615918958031837</v>
      </c>
      <c r="O212" s="6">
        <f>IFERROR(100/(L212+1),"")</f>
        <v>0.95556617295747737</v>
      </c>
      <c r="P212" s="5" t="s">
        <v>492</v>
      </c>
      <c r="Q212" s="4">
        <v>69100</v>
      </c>
      <c r="R212" s="4">
        <v>265</v>
      </c>
      <c r="S212" s="4">
        <v>100700</v>
      </c>
      <c r="T212" s="4">
        <v>14000</v>
      </c>
      <c r="U212" s="4">
        <v>296</v>
      </c>
      <c r="V212" s="4">
        <v>861200</v>
      </c>
      <c r="W212" s="4">
        <v>63</v>
      </c>
      <c r="X212" s="1" t="s">
        <v>23</v>
      </c>
      <c r="Y212" s="1" t="s">
        <v>491</v>
      </c>
      <c r="Z212" s="3">
        <v>45794.446539351855</v>
      </c>
      <c r="AA212" s="2" t="s">
        <v>490</v>
      </c>
      <c r="AB212" s="1" t="s">
        <v>489</v>
      </c>
    </row>
    <row r="213" spans="1:28">
      <c r="A213" s="4">
        <v>211</v>
      </c>
      <c r="B213" s="1" t="s">
        <v>465</v>
      </c>
      <c r="C213" s="1" t="s">
        <v>464</v>
      </c>
      <c r="D213" s="5" t="s">
        <v>463</v>
      </c>
      <c r="E213" s="14" t="s">
        <v>462</v>
      </c>
      <c r="F213" s="1" t="s">
        <v>488</v>
      </c>
      <c r="G213" s="10"/>
      <c r="H213" s="10" t="str">
        <f>IF(Q213&lt;100000,"1.마이크로-10만명 미만","2.메가-10만명 이상")</f>
        <v>2.메가-10만명 이상</v>
      </c>
      <c r="I213" s="10" t="str">
        <f ca="1">IFERROR(__xludf.DUMMYFUNCTION("iferror(REGEXEXTRACT(E213,""[a-zA-Z0-9._%+-]+@[a-zA-Z0-9.-]+\.[a-zA-Z]{2,}""),""2.이메일 없음"")"),"aimee@friendsinreality.com")</f>
        <v>aimee@friendsinreality.com</v>
      </c>
      <c r="J213" s="10">
        <f>IFERROR((S213+T213+U213)/V213,"")</f>
        <v>0.21715969072164948</v>
      </c>
      <c r="K213" s="9">
        <f>IFERROR(U213/V213,"")</f>
        <v>9.3288659793814438E-4</v>
      </c>
      <c r="L213" s="8">
        <f>IFERROR(MIN(Q213/1000*1.5, 150),"")</f>
        <v>150</v>
      </c>
      <c r="M213" s="7">
        <f>IFERROR(V213/Q213,"")</f>
        <v>6.0625</v>
      </c>
      <c r="N213" s="6">
        <f>IFERROR((S213+U213)/Q213,"")</f>
        <v>1.2556556249999999</v>
      </c>
      <c r="O213" s="6">
        <f>IFERROR(100/(L213+1),"")</f>
        <v>0.66225165562913912</v>
      </c>
      <c r="P213" s="5" t="s">
        <v>487</v>
      </c>
      <c r="Q213" s="4">
        <v>1600000</v>
      </c>
      <c r="R213" s="4">
        <v>966</v>
      </c>
      <c r="S213" s="4">
        <v>2000000</v>
      </c>
      <c r="T213" s="4">
        <v>97400</v>
      </c>
      <c r="U213" s="4">
        <v>9049</v>
      </c>
      <c r="V213" s="4">
        <v>9700000</v>
      </c>
      <c r="W213" s="4">
        <v>15</v>
      </c>
      <c r="X213" s="1" t="s">
        <v>486</v>
      </c>
      <c r="Y213" s="1" t="s">
        <v>485</v>
      </c>
      <c r="Z213" s="3">
        <v>45648.154930555553</v>
      </c>
      <c r="AA213" s="2" t="s">
        <v>484</v>
      </c>
      <c r="AB213" s="1" t="s">
        <v>456</v>
      </c>
    </row>
    <row r="214" spans="1:28">
      <c r="A214" s="4">
        <v>212</v>
      </c>
      <c r="B214" s="1" t="s">
        <v>483</v>
      </c>
      <c r="C214" s="1" t="s">
        <v>482</v>
      </c>
      <c r="D214" s="5" t="s">
        <v>481</v>
      </c>
      <c r="E214" s="1" t="s">
        <v>480</v>
      </c>
      <c r="F214" s="1"/>
      <c r="G214" s="10"/>
      <c r="H214" s="10" t="str">
        <f>IF(Q214&lt;100000,"1.마이크로-10만명 미만","2.메가-10만명 이상")</f>
        <v>2.메가-10만명 이상</v>
      </c>
      <c r="I214" s="10" t="str">
        <f ca="1">IFERROR(__xludf.DUMMYFUNCTION("iferror(REGEXEXTRACT(E214,""[a-zA-Z0-9._%+-]+@[a-zA-Z0-9.-]+\.[a-zA-Z]{2,}""),""2.이메일 없음"")"),"2.이메일 없음")</f>
        <v>2.이메일 없음</v>
      </c>
      <c r="J214" s="10">
        <f>IFERROR((S214+T214+U214)/V214,"")</f>
        <v>9.3394575678040243E-2</v>
      </c>
      <c r="K214" s="9">
        <f>IFERROR(U214/V214,"")</f>
        <v>6.2554680664916884E-4</v>
      </c>
      <c r="L214" s="8">
        <f>IFERROR(MIN(Q214/1000*1.5, 150),"")</f>
        <v>150</v>
      </c>
      <c r="M214" s="7">
        <f>IFERROR(V214/Q214,"")</f>
        <v>1.8317307692307692</v>
      </c>
      <c r="N214" s="6">
        <f>IFERROR((S214+U214)/Q214,"")</f>
        <v>0.1694150641025641</v>
      </c>
      <c r="O214" s="6">
        <f>IFERROR(100/(L214+1),"")</f>
        <v>0.66225165562913912</v>
      </c>
      <c r="P214" s="5" t="s">
        <v>479</v>
      </c>
      <c r="Q214" s="4">
        <v>124800</v>
      </c>
      <c r="R214" s="4">
        <v>62</v>
      </c>
      <c r="S214" s="4">
        <v>21000</v>
      </c>
      <c r="T214" s="4">
        <v>207</v>
      </c>
      <c r="U214" s="4">
        <v>143</v>
      </c>
      <c r="V214" s="4">
        <v>228600</v>
      </c>
      <c r="W214" s="4">
        <v>8</v>
      </c>
      <c r="X214" s="1" t="s">
        <v>23</v>
      </c>
      <c r="Y214" s="1" t="s">
        <v>478</v>
      </c>
      <c r="Z214" s="3">
        <v>45200.296585648146</v>
      </c>
      <c r="AA214" s="2" t="s">
        <v>477</v>
      </c>
      <c r="AB214" s="1" t="s">
        <v>476</v>
      </c>
    </row>
    <row r="215" spans="1:28">
      <c r="A215" s="4">
        <v>213</v>
      </c>
      <c r="B215" s="1" t="s">
        <v>475</v>
      </c>
      <c r="C215" s="1" t="s">
        <v>474</v>
      </c>
      <c r="D215" s="5" t="s">
        <v>473</v>
      </c>
      <c r="E215" s="1" t="s">
        <v>472</v>
      </c>
      <c r="F215" s="1" t="s">
        <v>471</v>
      </c>
      <c r="G215" s="10"/>
      <c r="H215" s="10" t="str">
        <f>IF(Q215&lt;100000,"1.마이크로-10만명 미만","2.메가-10만명 이상")</f>
        <v>2.메가-10만명 이상</v>
      </c>
      <c r="I215" s="10" t="str">
        <f ca="1">IFERROR(__xludf.DUMMYFUNCTION("iferror(REGEXEXTRACT(E215,""[a-zA-Z0-9._%+-]+@[a-zA-Z0-9.-]+\.[a-zA-Z]{2,}""),""2.이메일 없음"")"),"ivyangstbiz@gmail.com")</f>
        <v>ivyangstbiz@gmail.com</v>
      </c>
      <c r="J215" s="10">
        <f>IFERROR((S215+T215+U215)/V215,"")</f>
        <v>6.4631137429064886E-2</v>
      </c>
      <c r="K215" s="9">
        <f>IFERROR(U215/V215,"")</f>
        <v>1.2805329385640267E-3</v>
      </c>
      <c r="L215" s="8">
        <f>IFERROR(MIN(Q215/1000*1.5, 150),"")</f>
        <v>150</v>
      </c>
      <c r="M215" s="7">
        <f>IFERROR(V215/Q215,"")</f>
        <v>1.5850606179116151</v>
      </c>
      <c r="N215" s="6">
        <f>IFERROR((S215+U215)/Q215,"")</f>
        <v>9.4325381306218231E-2</v>
      </c>
      <c r="O215" s="6">
        <f>IFERROR(100/(L215+1),"")</f>
        <v>0.66225165562913912</v>
      </c>
      <c r="P215" s="5" t="s">
        <v>470</v>
      </c>
      <c r="Q215" s="4">
        <v>255700</v>
      </c>
      <c r="R215" s="4">
        <v>178</v>
      </c>
      <c r="S215" s="4">
        <v>23600</v>
      </c>
      <c r="T215" s="4">
        <v>2076</v>
      </c>
      <c r="U215" s="4">
        <v>519</v>
      </c>
      <c r="V215" s="4">
        <v>405300</v>
      </c>
      <c r="W215" s="4">
        <v>9</v>
      </c>
      <c r="X215" s="1" t="s">
        <v>469</v>
      </c>
      <c r="Y215" s="1" t="s">
        <v>468</v>
      </c>
      <c r="Z215" s="3">
        <v>45811.343842592592</v>
      </c>
      <c r="AA215" s="2" t="s">
        <v>467</v>
      </c>
      <c r="AB215" s="1" t="s">
        <v>466</v>
      </c>
    </row>
    <row r="216" spans="1:28">
      <c r="A216" s="4">
        <v>214</v>
      </c>
      <c r="B216" s="1" t="s">
        <v>465</v>
      </c>
      <c r="C216" s="1" t="s">
        <v>464</v>
      </c>
      <c r="D216" s="5" t="s">
        <v>463</v>
      </c>
      <c r="E216" s="1" t="s">
        <v>462</v>
      </c>
      <c r="F216" s="1" t="s">
        <v>461</v>
      </c>
      <c r="G216" s="10"/>
      <c r="H216" s="10" t="str">
        <f>IF(Q216&lt;100000,"1.마이크로-10만명 미만","2.메가-10만명 이상")</f>
        <v>2.메가-10만명 이상</v>
      </c>
      <c r="I216" s="10" t="str">
        <f ca="1">IFERROR(__xludf.DUMMYFUNCTION("iferror(REGEXEXTRACT(E216,""[a-zA-Z0-9._%+-]+@[a-zA-Z0-9.-]+\.[a-zA-Z]{2,}""),""2.이메일 없음"")"),"aimee@friendsinreality.com")</f>
        <v>aimee@friendsinreality.com</v>
      </c>
      <c r="J216" s="10">
        <f>IFERROR((S216+T216+U216)/V216,"")</f>
        <v>0.16102592592592593</v>
      </c>
      <c r="K216" s="9">
        <f>IFERROR(U216/V216,"")</f>
        <v>3.7407407407407409E-4</v>
      </c>
      <c r="L216" s="8">
        <f>IFERROR(MIN(Q216/1000*1.5, 150),"")</f>
        <v>150</v>
      </c>
      <c r="M216" s="7">
        <f>IFERROR(V216/Q216,"")</f>
        <v>16.875</v>
      </c>
      <c r="N216" s="6">
        <f>IFERROR((S216+U216)/Q216,"")</f>
        <v>2.6313124999999999</v>
      </c>
      <c r="O216" s="6">
        <f>IFERROR(100/(L216+1),"")</f>
        <v>0.66225165562913912</v>
      </c>
      <c r="P216" s="5" t="s">
        <v>460</v>
      </c>
      <c r="Q216" s="4">
        <v>1600000</v>
      </c>
      <c r="R216" s="4">
        <v>966</v>
      </c>
      <c r="S216" s="4">
        <v>4200000</v>
      </c>
      <c r="T216" s="4">
        <v>137600</v>
      </c>
      <c r="U216" s="4">
        <v>10100</v>
      </c>
      <c r="V216" s="4">
        <v>27000000</v>
      </c>
      <c r="W216" s="4">
        <v>13</v>
      </c>
      <c r="X216" s="1" t="s">
        <v>459</v>
      </c>
      <c r="Y216" s="1" t="s">
        <v>458</v>
      </c>
      <c r="Z216" s="3">
        <v>45499.116666666669</v>
      </c>
      <c r="AA216" s="2" t="s">
        <v>457</v>
      </c>
      <c r="AB216" s="1" t="s">
        <v>456</v>
      </c>
    </row>
    <row r="217" spans="1:28">
      <c r="A217" s="4">
        <v>215</v>
      </c>
      <c r="B217" s="1" t="s">
        <v>455</v>
      </c>
      <c r="C217" s="1" t="s">
        <v>454</v>
      </c>
      <c r="D217" s="5" t="s">
        <v>453</v>
      </c>
      <c r="E217" s="1" t="s">
        <v>452</v>
      </c>
      <c r="F217" s="1" t="s">
        <v>451</v>
      </c>
      <c r="G217" s="10"/>
      <c r="H217" s="10" t="str">
        <f>IF(Q217&lt;100000,"1.마이크로-10만명 미만","2.메가-10만명 이상")</f>
        <v>2.메가-10만명 이상</v>
      </c>
      <c r="I217" s="10" t="str">
        <f ca="1">IFERROR(__xludf.DUMMYFUNCTION("iferror(REGEXEXTRACT(E217,""[a-zA-Z0-9._%+-]+@[a-zA-Z0-9.-]+\.[a-zA-Z]{2,}""),""2.이메일 없음"")"),"2.이메일 없음")</f>
        <v>2.이메일 없음</v>
      </c>
      <c r="J217" s="10">
        <f>IFERROR((S217+T217+U217)/V217,"")</f>
        <v>6.7214615384615387E-2</v>
      </c>
      <c r="K217" s="9">
        <f>IFERROR(U217/V217,"")</f>
        <v>3.3038461538461536E-4</v>
      </c>
      <c r="L217" s="8">
        <f>IFERROR(MIN(Q217/1000*1.5, 150),"")</f>
        <v>150</v>
      </c>
      <c r="M217" s="7">
        <f>IFERROR(V217/Q217,"")</f>
        <v>2.1666666666666665</v>
      </c>
      <c r="N217" s="6">
        <f>IFERROR((S217+U217)/Q217,"")</f>
        <v>0.13829916666666667</v>
      </c>
      <c r="O217" s="6">
        <f>IFERROR(100/(L217+1),"")</f>
        <v>0.66225165562913912</v>
      </c>
      <c r="P217" s="5" t="s">
        <v>450</v>
      </c>
      <c r="Q217" s="4">
        <v>1200000</v>
      </c>
      <c r="R217" s="4">
        <v>210</v>
      </c>
      <c r="S217" s="4">
        <v>165100</v>
      </c>
      <c r="T217" s="4">
        <v>8799</v>
      </c>
      <c r="U217" s="4">
        <v>859</v>
      </c>
      <c r="V217" s="4">
        <v>2600000</v>
      </c>
      <c r="W217" s="4">
        <v>8</v>
      </c>
      <c r="X217" s="1" t="s">
        <v>449</v>
      </c>
      <c r="Y217" s="1" t="s">
        <v>448</v>
      </c>
      <c r="Z217" s="3">
        <v>45614.435312499998</v>
      </c>
      <c r="AA217" s="2" t="s">
        <v>447</v>
      </c>
      <c r="AB217" s="1" t="s">
        <v>446</v>
      </c>
    </row>
    <row r="218" spans="1:28">
      <c r="A218" s="4">
        <v>216</v>
      </c>
      <c r="B218" s="1" t="s">
        <v>445</v>
      </c>
      <c r="C218" s="1" t="s">
        <v>445</v>
      </c>
      <c r="D218" s="5" t="s">
        <v>444</v>
      </c>
      <c r="E218" s="1" t="s">
        <v>443</v>
      </c>
      <c r="F218" s="1" t="s">
        <v>442</v>
      </c>
      <c r="G218" s="10"/>
      <c r="H218" s="10" t="str">
        <f>IF(Q218&lt;100000,"1.마이크로-10만명 미만","2.메가-10만명 이상")</f>
        <v>1.마이크로-10만명 미만</v>
      </c>
      <c r="I218" s="10" t="str">
        <f ca="1">IFERROR(__xludf.DUMMYFUNCTION("iferror(REGEXEXTRACT(E218,""[a-zA-Z0-9._%+-]+@[a-zA-Z0-9.-]+\.[a-zA-Z]{2,}""),""2.이메일 없음"")"),"2.이메일 없음")</f>
        <v>2.이메일 없음</v>
      </c>
      <c r="J218" s="10">
        <f>IFERROR((S218+T218+U218)/V218,"")</f>
        <v>6.8840579710144926E-3</v>
      </c>
      <c r="K218" s="9">
        <f>IFERROR(U218/V218,"")</f>
        <v>2.7777777777777778E-4</v>
      </c>
      <c r="L218" s="8">
        <f>IFERROR(MIN(Q218/1000*1.5, 150),"")</f>
        <v>6.3E-2</v>
      </c>
      <c r="M218" s="7">
        <f>IFERROR(V218/Q218,"")</f>
        <v>1971.4285714285713</v>
      </c>
      <c r="N218" s="6">
        <f>IFERROR((S218+U218)/Q218,"")</f>
        <v>12.761904761904763</v>
      </c>
      <c r="O218" s="6">
        <f>IFERROR(100/(L218+1),"")</f>
        <v>94.073377234242713</v>
      </c>
      <c r="P218" s="5" t="s">
        <v>441</v>
      </c>
      <c r="Q218" s="4">
        <v>42</v>
      </c>
      <c r="R218" s="4">
        <v>84</v>
      </c>
      <c r="S218" s="4">
        <v>513</v>
      </c>
      <c r="T218" s="4">
        <v>34</v>
      </c>
      <c r="U218" s="4">
        <v>23</v>
      </c>
      <c r="V218" s="4">
        <v>82800</v>
      </c>
      <c r="W218" s="4">
        <v>20</v>
      </c>
      <c r="X218" s="1" t="s">
        <v>440</v>
      </c>
      <c r="Y218" s="1" t="s">
        <v>439</v>
      </c>
      <c r="Z218" s="3">
        <v>45874.980543981481</v>
      </c>
      <c r="AA218" s="2" t="s">
        <v>438</v>
      </c>
      <c r="AB218" s="1" t="s">
        <v>437</v>
      </c>
    </row>
    <row r="219" spans="1:28">
      <c r="A219" s="4">
        <v>217</v>
      </c>
      <c r="B219" s="1" t="s">
        <v>432</v>
      </c>
      <c r="C219" s="1" t="s">
        <v>432</v>
      </c>
      <c r="D219" s="5" t="s">
        <v>436</v>
      </c>
      <c r="E219" s="1" t="s">
        <v>435</v>
      </c>
      <c r="F219" s="1" t="s">
        <v>434</v>
      </c>
      <c r="G219" s="10"/>
      <c r="H219" s="10" t="str">
        <f>IF(Q219&lt;100000,"1.마이크로-10만명 미만","2.메가-10만명 이상")</f>
        <v>2.메가-10만명 이상</v>
      </c>
      <c r="I219" s="10" t="str">
        <f ca="1">IFERROR(__xludf.DUMMYFUNCTION("iferror(REGEXEXTRACT(E219,""[a-zA-Z0-9._%+-]+@[a-zA-Z0-9.-]+\.[a-zA-Z]{2,}""),""2.이메일 없음"")"),"shelby.marra@thedigitalbrandarchitects.com")</f>
        <v>shelby.marra@thedigitalbrandarchitects.com</v>
      </c>
      <c r="J219" s="10">
        <f>IFERROR((S219+T219+U219)/V219,"")</f>
        <v>1.9426851984525005E-2</v>
      </c>
      <c r="K219" s="9">
        <f>IFERROR(U219/V219,"")</f>
        <v>9.1703682475999433E-5</v>
      </c>
      <c r="L219" s="8">
        <f>IFERROR(MIN(Q219/1000*1.5, 150),"")</f>
        <v>150</v>
      </c>
      <c r="M219" s="7">
        <f>IFERROR(V219/Q219,"")</f>
        <v>3.0159896283491787</v>
      </c>
      <c r="N219" s="6">
        <f>IFERROR((S219+U219)/Q219,"")</f>
        <v>5.7320656871218671E-2</v>
      </c>
      <c r="O219" s="6">
        <f>IFERROR(100/(L219+1),"")</f>
        <v>0.66225165562913912</v>
      </c>
      <c r="P219" s="5" t="s">
        <v>433</v>
      </c>
      <c r="Q219" s="4">
        <v>231400</v>
      </c>
      <c r="R219" s="4">
        <v>1148</v>
      </c>
      <c r="S219" s="4">
        <v>13200</v>
      </c>
      <c r="T219" s="4">
        <v>294</v>
      </c>
      <c r="U219" s="4">
        <v>64</v>
      </c>
      <c r="V219" s="4">
        <v>697900</v>
      </c>
      <c r="W219" s="4">
        <v>56</v>
      </c>
      <c r="X219" s="1" t="s">
        <v>23</v>
      </c>
      <c r="Y219" s="1" t="s">
        <v>432</v>
      </c>
      <c r="Z219" s="3">
        <v>45193.489618055559</v>
      </c>
      <c r="AA219" s="2" t="s">
        <v>431</v>
      </c>
      <c r="AB219" s="1" t="s">
        <v>430</v>
      </c>
    </row>
    <row r="220" spans="1:28">
      <c r="A220" s="4">
        <v>218</v>
      </c>
      <c r="B220" s="1" t="s">
        <v>429</v>
      </c>
      <c r="C220" s="1" t="s">
        <v>424</v>
      </c>
      <c r="D220" s="5" t="s">
        <v>428</v>
      </c>
      <c r="E220" s="1" t="s">
        <v>427</v>
      </c>
      <c r="F220" s="1" t="s">
        <v>426</v>
      </c>
      <c r="G220" s="10"/>
      <c r="H220" s="10" t="str">
        <f>IF(Q220&lt;100000,"1.마이크로-10만명 미만","2.메가-10만명 이상")</f>
        <v>2.메가-10만명 이상</v>
      </c>
      <c r="I220" s="10" t="str">
        <f ca="1">IFERROR(__xludf.DUMMYFUNCTION("iferror(REGEXEXTRACT(E220,""[a-zA-Z0-9._%+-]+@[a-zA-Z0-9.-]+\.[a-zA-Z]{2,}""),""2.이메일 없음"")"),"evelynortiz@themuseagency.com")</f>
        <v>evelynortiz@themuseagency.com</v>
      </c>
      <c r="J220" s="10">
        <f>IFERROR((S220+T220+U220)/V220,"")</f>
        <v>0.1106</v>
      </c>
      <c r="K220" s="9">
        <f>IFERROR(U220/V220,"")</f>
        <v>1.7064516129032257E-4</v>
      </c>
      <c r="L220" s="8">
        <f>IFERROR(MIN(Q220/1000*1.5, 150),"")</f>
        <v>150</v>
      </c>
      <c r="M220" s="7">
        <f>IFERROR(V220/Q220,"")</f>
        <v>1.7222222222222223</v>
      </c>
      <c r="N220" s="6">
        <f>IFERROR((S220+U220)/Q220,"")</f>
        <v>0.18996055555555555</v>
      </c>
      <c r="O220" s="6">
        <f>IFERROR(100/(L220+1),"")</f>
        <v>0.66225165562913912</v>
      </c>
      <c r="P220" s="5" t="s">
        <v>425</v>
      </c>
      <c r="Q220" s="4">
        <v>1800000</v>
      </c>
      <c r="R220" s="4">
        <v>560</v>
      </c>
      <c r="S220" s="4">
        <v>341400</v>
      </c>
      <c r="T220" s="4">
        <v>931</v>
      </c>
      <c r="U220" s="4">
        <v>529</v>
      </c>
      <c r="V220" s="4">
        <v>3100000</v>
      </c>
      <c r="W220" s="4">
        <v>79</v>
      </c>
      <c r="X220" s="1" t="s">
        <v>23</v>
      </c>
      <c r="Y220" s="1" t="s">
        <v>424</v>
      </c>
      <c r="Z220" s="3">
        <v>45541.392453703702</v>
      </c>
      <c r="AA220" s="2" t="s">
        <v>423</v>
      </c>
      <c r="AB220" s="1" t="s">
        <v>422</v>
      </c>
    </row>
    <row r="221" spans="1:28">
      <c r="A221" s="4">
        <v>219</v>
      </c>
      <c r="B221" s="1" t="s">
        <v>164</v>
      </c>
      <c r="C221" s="1" t="s">
        <v>159</v>
      </c>
      <c r="D221" s="5" t="s">
        <v>163</v>
      </c>
      <c r="E221" s="1" t="s">
        <v>162</v>
      </c>
      <c r="F221" s="1" t="s">
        <v>421</v>
      </c>
      <c r="G221" s="10"/>
      <c r="H221" s="10" t="str">
        <f>IF(Q221&lt;100000,"1.마이크로-10만명 미만","2.메가-10만명 이상")</f>
        <v>2.메가-10만명 이상</v>
      </c>
      <c r="I221" s="10" t="str">
        <f ca="1">IFERROR(__xludf.DUMMYFUNCTION("iferror(REGEXEXTRACT(E221,""[a-zA-Z0-9._%+-]+@[a-zA-Z0-9.-]+\.[a-zA-Z]{2,}""),""2.이메일 없음"")"),"2.이메일 없음")</f>
        <v>2.이메일 없음</v>
      </c>
      <c r="J221" s="10">
        <f>IFERROR((S221+T221+U221)/V221,"")</f>
        <v>8.4193548387096778E-2</v>
      </c>
      <c r="K221" s="9">
        <f>IFERROR(U221/V221,"")</f>
        <v>2.2983870967741935E-3</v>
      </c>
      <c r="L221" s="8">
        <f>IFERROR(MIN(Q221/1000*1.5, 150),"")</f>
        <v>150</v>
      </c>
      <c r="M221" s="7">
        <f>IFERROR(V221/Q221,"")</f>
        <v>1.6533333333333334E-2</v>
      </c>
      <c r="N221" s="6">
        <f>IFERROR((S221+U221)/Q221,"")</f>
        <v>1.374E-3</v>
      </c>
      <c r="O221" s="6">
        <f>IFERROR(100/(L221+1),"")</f>
        <v>0.66225165562913912</v>
      </c>
      <c r="P221" s="5" t="s">
        <v>420</v>
      </c>
      <c r="Q221" s="4">
        <v>1500000</v>
      </c>
      <c r="R221" s="4">
        <v>2263</v>
      </c>
      <c r="S221" s="4">
        <v>2004</v>
      </c>
      <c r="T221" s="4">
        <v>27</v>
      </c>
      <c r="U221" s="4">
        <v>57</v>
      </c>
      <c r="V221" s="4">
        <v>24800</v>
      </c>
      <c r="W221" s="4">
        <v>10</v>
      </c>
      <c r="X221" s="1" t="s">
        <v>419</v>
      </c>
      <c r="Y221" s="1" t="s">
        <v>418</v>
      </c>
      <c r="Z221" s="3">
        <v>45907.985127314816</v>
      </c>
      <c r="AA221" s="2" t="s">
        <v>417</v>
      </c>
      <c r="AB221" s="1" t="s">
        <v>157</v>
      </c>
    </row>
    <row r="222" spans="1:28">
      <c r="A222" s="4">
        <v>220</v>
      </c>
      <c r="B222" s="1" t="s">
        <v>53</v>
      </c>
      <c r="C222" s="1" t="s">
        <v>52</v>
      </c>
      <c r="D222" s="5" t="s">
        <v>51</v>
      </c>
      <c r="E222" s="3"/>
      <c r="F222" s="1" t="s">
        <v>416</v>
      </c>
      <c r="G222" s="10"/>
      <c r="H222" s="10" t="str">
        <f>IF(Q222&lt;100000,"1.마이크로-10만명 미만","2.메가-10만명 이상")</f>
        <v>1.마이크로-10만명 미만</v>
      </c>
      <c r="I222" s="10" t="str">
        <f ca="1">IFERROR(__xludf.DUMMYFUNCTION("iferror(REGEXEXTRACT(E222,""[a-zA-Z0-9._%+-]+@[a-zA-Z0-9.-]+\.[a-zA-Z]{2,}""),""2.이메일 없음"")"),"2.이메일 없음")</f>
        <v>2.이메일 없음</v>
      </c>
      <c r="J222" s="10">
        <f>IFERROR((S222+T222+U222)/V222,"")</f>
        <v>0.13369958333333334</v>
      </c>
      <c r="K222" s="9">
        <f>IFERROR(U222/V222,"")</f>
        <v>4.7041666666666667E-4</v>
      </c>
      <c r="L222" s="8">
        <f>IFERROR(MIN(Q222/1000*1.5, 150),"")</f>
        <v>64.349999999999994</v>
      </c>
      <c r="M222" s="7">
        <f>IFERROR(V222/Q222,"")</f>
        <v>111.88811188811189</v>
      </c>
      <c r="N222" s="6">
        <f>IFERROR((S222+U222)/Q222,"")</f>
        <v>12.728624708624709</v>
      </c>
      <c r="O222" s="6">
        <f>IFERROR(100/(L222+1),"")</f>
        <v>1.5302218821729152</v>
      </c>
      <c r="P222" s="5" t="s">
        <v>415</v>
      </c>
      <c r="Q222" s="4">
        <v>42900</v>
      </c>
      <c r="R222" s="4">
        <v>76</v>
      </c>
      <c r="S222" s="4">
        <v>543800</v>
      </c>
      <c r="T222" s="4">
        <v>95700</v>
      </c>
      <c r="U222" s="4">
        <v>2258</v>
      </c>
      <c r="V222" s="4">
        <v>4800000</v>
      </c>
      <c r="W222" s="4">
        <v>12</v>
      </c>
      <c r="X222" s="1" t="s">
        <v>414</v>
      </c>
      <c r="Y222" s="1" t="s">
        <v>413</v>
      </c>
      <c r="Z222" s="3">
        <v>45657.306562500002</v>
      </c>
      <c r="AA222" s="2" t="s">
        <v>412</v>
      </c>
      <c r="AB222" s="1" t="s">
        <v>45</v>
      </c>
    </row>
    <row r="223" spans="1:28">
      <c r="A223" s="4">
        <v>221</v>
      </c>
      <c r="B223" s="1" t="s">
        <v>411</v>
      </c>
      <c r="C223" s="1" t="s">
        <v>410</v>
      </c>
      <c r="D223" s="5" t="s">
        <v>409</v>
      </c>
      <c r="E223" s="1" t="s">
        <v>408</v>
      </c>
      <c r="F223" s="1" t="s">
        <v>407</v>
      </c>
      <c r="G223" s="10"/>
      <c r="H223" s="10" t="str">
        <f>IF(Q223&lt;100000,"1.마이크로-10만명 미만","2.메가-10만명 이상")</f>
        <v>2.메가-10만명 이상</v>
      </c>
      <c r="I223" s="10" t="str">
        <f ca="1">IFERROR(__xludf.DUMMYFUNCTION("iferror(REGEXEXTRACT(E223,""[a-zA-Z0-9._%+-]+@[a-zA-Z0-9.-]+\.[a-zA-Z]{2,}""),""2.이메일 없음"")"),"2.이메일 없음")</f>
        <v>2.이메일 없음</v>
      </c>
      <c r="J223" s="10">
        <f>IFERROR((S223+T223+U223)/V223,"")</f>
        <v>2.781094527363184E-2</v>
      </c>
      <c r="K223" s="9">
        <f>IFERROR(U223/V223,"")</f>
        <v>1.990049751243781E-4</v>
      </c>
      <c r="L223" s="8">
        <f>IFERROR(MIN(Q223/1000*1.5, 150),"")</f>
        <v>150</v>
      </c>
      <c r="M223" s="7">
        <f>IFERROR(V223/Q223,"")</f>
        <v>5.5280528052805283E-2</v>
      </c>
      <c r="N223" s="6">
        <f>IFERROR((S223+U223)/Q223,"")</f>
        <v>1.463146314631463E-3</v>
      </c>
      <c r="O223" s="6">
        <f>IFERROR(100/(L223+1),"")</f>
        <v>0.66225165562913912</v>
      </c>
      <c r="P223" s="5" t="s">
        <v>406</v>
      </c>
      <c r="Q223" s="4">
        <v>363600</v>
      </c>
      <c r="R223" s="4">
        <v>3245</v>
      </c>
      <c r="S223" s="4">
        <v>528</v>
      </c>
      <c r="T223" s="4">
        <v>27</v>
      </c>
      <c r="U223" s="4">
        <v>4</v>
      </c>
      <c r="V223" s="4">
        <v>20100</v>
      </c>
      <c r="W223" s="4">
        <v>7</v>
      </c>
      <c r="X223" s="1" t="s">
        <v>405</v>
      </c>
      <c r="Y223" s="1" t="s">
        <v>404</v>
      </c>
      <c r="Z223" s="3">
        <v>45896.810729166667</v>
      </c>
      <c r="AA223" s="2" t="s">
        <v>403</v>
      </c>
      <c r="AB223" s="1" t="s">
        <v>402</v>
      </c>
    </row>
    <row r="224" spans="1:28">
      <c r="A224" s="4">
        <v>222</v>
      </c>
      <c r="B224" s="1" t="s">
        <v>401</v>
      </c>
      <c r="C224" s="1" t="s">
        <v>396</v>
      </c>
      <c r="D224" s="5" t="s">
        <v>400</v>
      </c>
      <c r="E224" s="1" t="s">
        <v>399</v>
      </c>
      <c r="F224" s="1" t="s">
        <v>398</v>
      </c>
      <c r="G224" s="10"/>
      <c r="H224" s="10" t="str">
        <f>IF(Q224&lt;100000,"1.마이크로-10만명 미만","2.메가-10만명 이상")</f>
        <v>1.마이크로-10만명 미만</v>
      </c>
      <c r="I224" s="10" t="str">
        <f ca="1">IFERROR(__xludf.DUMMYFUNCTION("iferror(REGEXEXTRACT(E224,""[a-zA-Z0-9._%+-]+@[a-zA-Z0-9.-]+\.[a-zA-Z]{2,}""),""2.이메일 없음"")"),"2.이메일 없음")</f>
        <v>2.이메일 없음</v>
      </c>
      <c r="J224" s="10">
        <f>IFERROR((S224+T224+U224)/V224,"")</f>
        <v>3.9879154078549849E-3</v>
      </c>
      <c r="K224" s="9">
        <f>IFERROR(U224/V224,"")</f>
        <v>3.0211480362537764E-5</v>
      </c>
      <c r="L224" s="8">
        <f>IFERROR(MIN(Q224/1000*1.5, 150),"")</f>
        <v>3.3929999999999998</v>
      </c>
      <c r="M224" s="7">
        <f>IFERROR(V224/Q224,"")</f>
        <v>14.633068081343943</v>
      </c>
      <c r="N224" s="6">
        <f>IFERROR((S224+U224)/Q224,"")</f>
        <v>4.9955791335101682E-2</v>
      </c>
      <c r="O224" s="6">
        <f>IFERROR(100/(L224+1),"")</f>
        <v>22.763487366264513</v>
      </c>
      <c r="P224" s="5" t="s">
        <v>397</v>
      </c>
      <c r="Q224" s="4">
        <v>2262</v>
      </c>
      <c r="R224" s="4">
        <v>153</v>
      </c>
      <c r="S224" s="4">
        <v>112</v>
      </c>
      <c r="T224" s="4">
        <v>19</v>
      </c>
      <c r="U224" s="4">
        <v>1</v>
      </c>
      <c r="V224" s="4">
        <v>33100</v>
      </c>
      <c r="W224" s="4">
        <v>9</v>
      </c>
      <c r="X224" s="1" t="s">
        <v>240</v>
      </c>
      <c r="Y224" s="1" t="s">
        <v>396</v>
      </c>
      <c r="Z224" s="3">
        <v>45758.217824074076</v>
      </c>
      <c r="AA224" s="2" t="s">
        <v>395</v>
      </c>
      <c r="AB224" s="1" t="s">
        <v>394</v>
      </c>
    </row>
    <row r="225" spans="1:28">
      <c r="A225" s="4">
        <v>223</v>
      </c>
      <c r="B225" s="1" t="s">
        <v>393</v>
      </c>
      <c r="C225" s="1" t="s">
        <v>392</v>
      </c>
      <c r="D225" s="5" t="s">
        <v>391</v>
      </c>
      <c r="E225" s="1" t="s">
        <v>390</v>
      </c>
      <c r="F225" s="1" t="s">
        <v>389</v>
      </c>
      <c r="G225" s="10"/>
      <c r="H225" s="10" t="str">
        <f>IF(Q225&lt;100000,"1.마이크로-10만명 미만","2.메가-10만명 이상")</f>
        <v>1.마이크로-10만명 미만</v>
      </c>
      <c r="I225" s="10" t="str">
        <f ca="1">IFERROR(__xludf.DUMMYFUNCTION("iferror(REGEXEXTRACT(E225,""[a-zA-Z0-9._%+-]+@[a-zA-Z0-9.-]+\.[a-zA-Z]{2,}""),""2.이메일 없음"")"),"2.이메일 없음")</f>
        <v>2.이메일 없음</v>
      </c>
      <c r="J225" s="10">
        <f>IFERROR((S225+T225+U225)/V225,"")</f>
        <v>2.9010477299185101E-3</v>
      </c>
      <c r="K225" s="9">
        <f>IFERROR(U225/V225,"")</f>
        <v>2.4447031431897557E-4</v>
      </c>
      <c r="L225" s="8">
        <f>IFERROR(MIN(Q225/1000*1.5, 150),"")</f>
        <v>4.8194999999999997</v>
      </c>
      <c r="M225" s="7">
        <f>IFERROR(V225/Q225,"")</f>
        <v>133.67569249922192</v>
      </c>
      <c r="N225" s="6">
        <f>IFERROR((S225+U225)/Q225,"")</f>
        <v>0.35667600373482727</v>
      </c>
      <c r="O225" s="6">
        <f>IFERROR(100/(L225+1),"")</f>
        <v>17.183606839075523</v>
      </c>
      <c r="P225" s="5" t="s">
        <v>388</v>
      </c>
      <c r="Q225" s="4">
        <v>3213</v>
      </c>
      <c r="R225" s="4">
        <v>787</v>
      </c>
      <c r="S225" s="4">
        <v>1041</v>
      </c>
      <c r="T225" s="4">
        <v>100</v>
      </c>
      <c r="U225" s="4">
        <v>105</v>
      </c>
      <c r="V225" s="4">
        <v>429500</v>
      </c>
      <c r="W225" s="4">
        <v>10</v>
      </c>
      <c r="X225" s="1" t="s">
        <v>387</v>
      </c>
      <c r="Y225" s="1" t="s">
        <v>386</v>
      </c>
      <c r="Z225" s="3">
        <v>45509.973344907405</v>
      </c>
      <c r="AA225" s="2" t="s">
        <v>385</v>
      </c>
      <c r="AB225" s="1" t="s">
        <v>384</v>
      </c>
    </row>
    <row r="226" spans="1:28">
      <c r="A226" s="4">
        <v>224</v>
      </c>
      <c r="B226" s="1" t="s">
        <v>383</v>
      </c>
      <c r="C226" s="1" t="s">
        <v>382</v>
      </c>
      <c r="D226" s="5" t="s">
        <v>381</v>
      </c>
      <c r="E226" s="1" t="s">
        <v>380</v>
      </c>
      <c r="F226" s="1" t="s">
        <v>379</v>
      </c>
      <c r="G226" s="10"/>
      <c r="H226" s="10" t="str">
        <f>IF(Q226&lt;100000,"1.마이크로-10만명 미만","2.메가-10만명 이상")</f>
        <v>1.마이크로-10만명 미만</v>
      </c>
      <c r="I226" s="10" t="str">
        <f ca="1">IFERROR(__xludf.DUMMYFUNCTION("iferror(REGEXEXTRACT(E226,""[a-zA-Z0-9._%+-]+@[a-zA-Z0-9.-]+\.[a-zA-Z]{2,}""),""2.이메일 없음"")"),"chana_kesselaar@hotmail.com")</f>
        <v>chana_kesselaar@hotmail.com</v>
      </c>
      <c r="J226" s="10">
        <f>IFERROR((S226+T226+U226)/V226,"")</f>
        <v>5.7881597717546363E-2</v>
      </c>
      <c r="K226" s="9">
        <f>IFERROR(U226/V226,"")</f>
        <v>1.1412268188302425E-4</v>
      </c>
      <c r="L226" s="8">
        <f>IFERROR(MIN(Q226/1000*1.5, 150),"")</f>
        <v>62.699999999999996</v>
      </c>
      <c r="M226" s="7">
        <f>IFERROR(V226/Q226,"")</f>
        <v>10.062200956937799</v>
      </c>
      <c r="N226" s="6">
        <f>IFERROR((S226+U226)/Q226,"")</f>
        <v>0.55856459330143537</v>
      </c>
      <c r="O226" s="6">
        <f>IFERROR(100/(L226+1),"")</f>
        <v>1.5698587127158556</v>
      </c>
      <c r="P226" s="5" t="s">
        <v>378</v>
      </c>
      <c r="Q226" s="4">
        <v>41800</v>
      </c>
      <c r="R226" s="4">
        <v>463</v>
      </c>
      <c r="S226" s="4">
        <v>23300</v>
      </c>
      <c r="T226" s="4">
        <v>997</v>
      </c>
      <c r="U226" s="4">
        <v>48</v>
      </c>
      <c r="V226" s="4">
        <v>420600</v>
      </c>
      <c r="W226" s="4">
        <v>9</v>
      </c>
      <c r="X226" s="1" t="s">
        <v>377</v>
      </c>
      <c r="Y226" s="1" t="s">
        <v>376</v>
      </c>
      <c r="Z226" s="3">
        <v>45681.903391203705</v>
      </c>
      <c r="AA226" s="2" t="s">
        <v>375</v>
      </c>
      <c r="AB226" s="1" t="s">
        <v>374</v>
      </c>
    </row>
    <row r="227" spans="1:28">
      <c r="A227" s="4">
        <v>225</v>
      </c>
      <c r="B227" s="1" t="s">
        <v>373</v>
      </c>
      <c r="C227" s="1" t="s">
        <v>367</v>
      </c>
      <c r="D227" s="5" t="s">
        <v>372</v>
      </c>
      <c r="E227" s="1" t="s">
        <v>371</v>
      </c>
      <c r="F227" s="1" t="s">
        <v>370</v>
      </c>
      <c r="G227" s="10"/>
      <c r="H227" s="10" t="str">
        <f>IF(Q227&lt;100000,"1.마이크로-10만명 미만","2.메가-10만명 이상")</f>
        <v>2.메가-10만명 이상</v>
      </c>
      <c r="I227" s="10" t="str">
        <f ca="1">IFERROR(__xludf.DUMMYFUNCTION("iferror(REGEXEXTRACT(E227,""[a-zA-Z0-9._%+-]+@[a-zA-Z0-9.-]+\.[a-zA-Z]{2,}""),""2.이메일 없음"")"),"2.이메일 없음")</f>
        <v>2.이메일 없음</v>
      </c>
      <c r="J227" s="10">
        <f>IFERROR((S227+T227+U227)/V227,"")</f>
        <v>6.2593571428571429E-2</v>
      </c>
      <c r="K227" s="9">
        <f>IFERROR(U227/V227,"")</f>
        <v>3.2428571428571429E-4</v>
      </c>
      <c r="L227" s="8">
        <f>IFERROR(MIN(Q227/1000*1.5, 150),"")</f>
        <v>150</v>
      </c>
      <c r="M227" s="7">
        <f>IFERROR(V227/Q227,"")</f>
        <v>1.6134608735738158</v>
      </c>
      <c r="N227" s="6">
        <f>IFERROR((S227+U227)/Q227,"")</f>
        <v>9.7561369136798429E-2</v>
      </c>
      <c r="O227" s="6">
        <f>IFERROR(100/(L227+1),"")</f>
        <v>0.66225165562913912</v>
      </c>
      <c r="P227" s="5" t="s">
        <v>369</v>
      </c>
      <c r="Q227" s="4">
        <v>867700</v>
      </c>
      <c r="R227" s="4">
        <v>1283</v>
      </c>
      <c r="S227" s="4">
        <v>84200</v>
      </c>
      <c r="T227" s="4">
        <v>2977</v>
      </c>
      <c r="U227" s="4">
        <v>454</v>
      </c>
      <c r="V227" s="4">
        <v>1400000</v>
      </c>
      <c r="W227" s="4">
        <v>90</v>
      </c>
      <c r="X227" s="1" t="s">
        <v>368</v>
      </c>
      <c r="Y227" s="1" t="s">
        <v>367</v>
      </c>
      <c r="Z227" s="3">
        <v>45765.118946759256</v>
      </c>
      <c r="AA227" s="2" t="s">
        <v>366</v>
      </c>
      <c r="AB227" s="1" t="s">
        <v>365</v>
      </c>
    </row>
    <row r="228" spans="1:28">
      <c r="A228" s="4">
        <v>226</v>
      </c>
      <c r="B228" s="1" t="s">
        <v>364</v>
      </c>
      <c r="C228" s="1" t="s">
        <v>363</v>
      </c>
      <c r="D228" s="5" t="s">
        <v>362</v>
      </c>
      <c r="E228" s="1" t="s">
        <v>361</v>
      </c>
      <c r="F228" s="1" t="s">
        <v>360</v>
      </c>
      <c r="G228" s="10"/>
      <c r="H228" s="10" t="str">
        <f>IF(Q228&lt;100000,"1.마이크로-10만명 미만","2.메가-10만명 이상")</f>
        <v>1.마이크로-10만명 미만</v>
      </c>
      <c r="I228" s="10" t="str">
        <f ca="1">IFERROR(__xludf.DUMMYFUNCTION("iferror(REGEXEXTRACT(E228,""[a-zA-Z0-9._%+-]+@[a-zA-Z0-9.-]+\.[a-zA-Z]{2,}""),""2.이메일 없음"")"),"lexthelibra.management@gmail.com")</f>
        <v>lexthelibra.management@gmail.com</v>
      </c>
      <c r="J228" s="10">
        <f>IFERROR((S228+T228+U228)/V228,"")</f>
        <v>8.4771573604060912E-3</v>
      </c>
      <c r="K228" s="9">
        <f>IFERROR(U228/V228,"")</f>
        <v>8.1218274111675124E-4</v>
      </c>
      <c r="L228" s="8">
        <f>IFERROR(MIN(Q228/1000*1.5, 150),"")</f>
        <v>17.399999999999999</v>
      </c>
      <c r="M228" s="7">
        <f>IFERROR(V228/Q228,"")</f>
        <v>1.6982758620689655</v>
      </c>
      <c r="N228" s="6">
        <f>IFERROR((S228+U228)/Q228,"")</f>
        <v>1.1982758620689656E-2</v>
      </c>
      <c r="O228" s="6">
        <f>IFERROR(100/(L228+1),"")</f>
        <v>5.4347826086956523</v>
      </c>
      <c r="P228" s="5" t="s">
        <v>359</v>
      </c>
      <c r="Q228" s="4">
        <v>11600</v>
      </c>
      <c r="R228" s="4">
        <v>322</v>
      </c>
      <c r="S228" s="4">
        <v>123</v>
      </c>
      <c r="T228" s="4">
        <v>28</v>
      </c>
      <c r="U228" s="4">
        <v>16</v>
      </c>
      <c r="V228" s="4">
        <v>19700</v>
      </c>
      <c r="W228" s="4">
        <v>8</v>
      </c>
      <c r="X228" s="1" t="s">
        <v>358</v>
      </c>
      <c r="Y228" s="1" t="s">
        <v>357</v>
      </c>
      <c r="Z228" s="3">
        <v>45444.352442129632</v>
      </c>
      <c r="AA228" s="2" t="s">
        <v>356</v>
      </c>
      <c r="AB228" s="1" t="s">
        <v>355</v>
      </c>
    </row>
    <row r="229" spans="1:28">
      <c r="A229" s="4">
        <v>227</v>
      </c>
      <c r="B229" s="1" t="s">
        <v>354</v>
      </c>
      <c r="C229" s="1" t="s">
        <v>353</v>
      </c>
      <c r="D229" s="5" t="s">
        <v>352</v>
      </c>
      <c r="E229" s="1" t="s">
        <v>351</v>
      </c>
      <c r="F229" s="1" t="s">
        <v>350</v>
      </c>
      <c r="G229" s="10"/>
      <c r="H229" s="10" t="str">
        <f>IF(Q229&lt;100000,"1.마이크로-10만명 미만","2.메가-10만명 이상")</f>
        <v>2.메가-10만명 이상</v>
      </c>
      <c r="I229" s="10" t="str">
        <f ca="1">IFERROR(__xludf.DUMMYFUNCTION("iferror(REGEXEXTRACT(E229,""[a-zA-Z0-9._%+-]+@[a-zA-Z0-9.-]+\.[a-zA-Z]{2,}""),""2.이메일 없음"")"),"2.이메일 없음")</f>
        <v>2.이메일 없음</v>
      </c>
      <c r="J229" s="10">
        <f>IFERROR((S229+T229+U229)/V229,"")</f>
        <v>1.8148148148148149E-2</v>
      </c>
      <c r="K229" s="9">
        <f>IFERROR(U229/V229,"")</f>
        <v>1.5167548500881833E-4</v>
      </c>
      <c r="L229" s="8">
        <f>IFERROR(MIN(Q229/1000*1.5, 150),"")</f>
        <v>150</v>
      </c>
      <c r="M229" s="7">
        <f>IFERROR(V229/Q229,"")</f>
        <v>0.70981472208312468</v>
      </c>
      <c r="N229" s="6">
        <f>IFERROR((S229+U229)/Q229,"")</f>
        <v>1.2318477716574861E-2</v>
      </c>
      <c r="O229" s="6">
        <f>IFERROR(100/(L229+1),"")</f>
        <v>0.66225165562913912</v>
      </c>
      <c r="P229" s="5" t="s">
        <v>349</v>
      </c>
      <c r="Q229" s="4">
        <v>399400</v>
      </c>
      <c r="R229" s="4">
        <v>763</v>
      </c>
      <c r="S229" s="4">
        <v>4877</v>
      </c>
      <c r="T229" s="4">
        <v>225</v>
      </c>
      <c r="U229" s="4">
        <v>43</v>
      </c>
      <c r="V229" s="4">
        <v>283500</v>
      </c>
      <c r="W229" s="4">
        <v>10</v>
      </c>
      <c r="X229" s="1" t="s">
        <v>348</v>
      </c>
      <c r="Y229" s="1" t="s">
        <v>347</v>
      </c>
      <c r="Z229" s="3">
        <v>45265.443819444445</v>
      </c>
      <c r="AA229" s="2" t="s">
        <v>346</v>
      </c>
      <c r="AB229" s="1" t="s">
        <v>345</v>
      </c>
    </row>
    <row r="230" spans="1:28">
      <c r="A230" s="4">
        <v>228</v>
      </c>
      <c r="B230" s="1" t="s">
        <v>344</v>
      </c>
      <c r="C230" s="1" t="s">
        <v>343</v>
      </c>
      <c r="D230" s="5" t="s">
        <v>342</v>
      </c>
      <c r="E230" s="1" t="s">
        <v>341</v>
      </c>
      <c r="F230" s="1" t="s">
        <v>340</v>
      </c>
      <c r="G230" s="10"/>
      <c r="H230" s="10" t="str">
        <f>IF(Q230&lt;100000,"1.마이크로-10만명 미만","2.메가-10만명 이상")</f>
        <v>1.마이크로-10만명 미만</v>
      </c>
      <c r="I230" s="10" t="str">
        <f ca="1">IFERROR(__xludf.DUMMYFUNCTION("iferror(REGEXEXTRACT(E230,""[a-zA-Z0-9._%+-]+@[a-zA-Z0-9.-]+\.[a-zA-Z]{2,}""),""2.이메일 없음"")"),"2.이메일 없음")</f>
        <v>2.이메일 없음</v>
      </c>
      <c r="J230" s="10">
        <f>IFERROR((S230+T230+U230)/V230,"")</f>
        <v>1.4141791044776119E-2</v>
      </c>
      <c r="K230" s="9">
        <f>IFERROR(U230/V230,"")</f>
        <v>3.7313432835820896E-4</v>
      </c>
      <c r="L230" s="8">
        <f>IFERROR(MIN(Q230/1000*1.5, 150),"")</f>
        <v>0.17100000000000001</v>
      </c>
      <c r="M230" s="7">
        <f>IFERROR(V230/Q230,"")</f>
        <v>470.17543859649123</v>
      </c>
      <c r="N230" s="6">
        <f>IFERROR((S230+U230)/Q230,"")</f>
        <v>5.4824561403508776</v>
      </c>
      <c r="O230" s="6">
        <f>IFERROR(100/(L230+1),"")</f>
        <v>85.397096498719037</v>
      </c>
      <c r="P230" s="5" t="s">
        <v>339</v>
      </c>
      <c r="Q230" s="4">
        <v>114</v>
      </c>
      <c r="R230" s="4">
        <v>33</v>
      </c>
      <c r="S230" s="4">
        <v>605</v>
      </c>
      <c r="T230" s="4">
        <v>133</v>
      </c>
      <c r="U230" s="4">
        <v>20</v>
      </c>
      <c r="V230" s="4">
        <v>53600</v>
      </c>
      <c r="W230" s="4">
        <v>12</v>
      </c>
      <c r="X230" s="1" t="s">
        <v>338</v>
      </c>
      <c r="Y230" s="1" t="s">
        <v>337</v>
      </c>
      <c r="Z230" s="3">
        <v>45833.335057870368</v>
      </c>
      <c r="AA230" s="2" t="s">
        <v>336</v>
      </c>
      <c r="AB230" s="1" t="s">
        <v>335</v>
      </c>
    </row>
    <row r="231" spans="1:28">
      <c r="A231" s="4">
        <v>229</v>
      </c>
      <c r="B231" s="1" t="s">
        <v>334</v>
      </c>
      <c r="C231" s="1" t="s">
        <v>333</v>
      </c>
      <c r="D231" s="5" t="s">
        <v>332</v>
      </c>
      <c r="E231" s="1" t="s">
        <v>331</v>
      </c>
      <c r="F231" s="1" t="s">
        <v>330</v>
      </c>
      <c r="G231" s="10"/>
      <c r="H231" s="10" t="str">
        <f>IF(Q231&lt;100000,"1.마이크로-10만명 미만","2.메가-10만명 이상")</f>
        <v>1.마이크로-10만명 미만</v>
      </c>
      <c r="I231" s="10" t="str">
        <f ca="1">IFERROR(__xludf.DUMMYFUNCTION("iferror(REGEXEXTRACT(E231,""[a-zA-Z0-9._%+-]+@[a-zA-Z0-9.-]+\.[a-zA-Z]{2,}""),""2.이메일 없음"")"),"sarah@mgssocial.com")</f>
        <v>sarah@mgssocial.com</v>
      </c>
      <c r="J231" s="10">
        <f>IFERROR((S231+T231+U231)/V231,"")</f>
        <v>0.10535545023696682</v>
      </c>
      <c r="K231" s="9">
        <f>IFERROR(U231/V231,"")</f>
        <v>4.9116760017233949E-4</v>
      </c>
      <c r="L231" s="8">
        <f>IFERROR(MIN(Q231/1000*1.5, 150),"")</f>
        <v>141.30000000000001</v>
      </c>
      <c r="M231" s="7">
        <f>IFERROR(V231/Q231,"")</f>
        <v>2.4639065817409764</v>
      </c>
      <c r="N231" s="6">
        <f>IFERROR((S231+U231)/Q231,"")</f>
        <v>0.25386411889596605</v>
      </c>
      <c r="O231" s="6">
        <f>IFERROR(100/(L231+1),"")</f>
        <v>0.7027406886858748</v>
      </c>
      <c r="P231" s="5" t="s">
        <v>329</v>
      </c>
      <c r="Q231" s="4">
        <v>94200</v>
      </c>
      <c r="R231" s="4">
        <v>1622</v>
      </c>
      <c r="S231" s="4">
        <v>23800</v>
      </c>
      <c r="T231" s="4">
        <v>539</v>
      </c>
      <c r="U231" s="4">
        <v>114</v>
      </c>
      <c r="V231" s="4">
        <v>232100</v>
      </c>
      <c r="W231" s="4">
        <v>12</v>
      </c>
      <c r="X231" s="1" t="s">
        <v>328</v>
      </c>
      <c r="Y231" s="1" t="s">
        <v>327</v>
      </c>
      <c r="Z231" s="3">
        <v>45253.290925925925</v>
      </c>
      <c r="AA231" s="2" t="s">
        <v>326</v>
      </c>
      <c r="AB231" s="1" t="s">
        <v>325</v>
      </c>
    </row>
    <row r="232" spans="1:28">
      <c r="A232" s="4">
        <v>230</v>
      </c>
      <c r="B232" s="1" t="s">
        <v>324</v>
      </c>
      <c r="C232" s="1" t="s">
        <v>318</v>
      </c>
      <c r="D232" s="5" t="s">
        <v>323</v>
      </c>
      <c r="E232" s="1" t="s">
        <v>322</v>
      </c>
      <c r="F232" s="1" t="s">
        <v>321</v>
      </c>
      <c r="G232" s="10"/>
      <c r="H232" s="10" t="str">
        <f>IF(Q232&lt;100000,"1.마이크로-10만명 미만","2.메가-10만명 이상")</f>
        <v>1.마이크로-10만명 미만</v>
      </c>
      <c r="I232" s="10" t="str">
        <f ca="1">IFERROR(__xludf.DUMMYFUNCTION("iferror(REGEXEXTRACT(E232,""[a-zA-Z0-9._%+-]+@[a-zA-Z0-9.-]+\.[a-zA-Z]{2,}""),""2.이메일 없음"")"),"2.이메일 없음")</f>
        <v>2.이메일 없음</v>
      </c>
      <c r="J232" s="10">
        <f>IFERROR((S232+T232+U232)/V232,"")</f>
        <v>1.4303984259714707E-2</v>
      </c>
      <c r="K232" s="9">
        <f>IFERROR(U232/V232,"")</f>
        <v>2.5332021642892276E-4</v>
      </c>
      <c r="L232" s="8">
        <f>IFERROR(MIN(Q232/1000*1.5, 150),"")</f>
        <v>9.1259999999999994</v>
      </c>
      <c r="M232" s="7">
        <f>IFERROR(V232/Q232,"")</f>
        <v>66.831032215647596</v>
      </c>
      <c r="N232" s="6">
        <f>IFERROR((S232+U232)/Q232,"")</f>
        <v>0.83284023668639051</v>
      </c>
      <c r="O232" s="6">
        <f>IFERROR(100/(L232+1),"")</f>
        <v>9.875567845151096</v>
      </c>
      <c r="P232" s="5" t="s">
        <v>320</v>
      </c>
      <c r="Q232" s="4">
        <v>6084</v>
      </c>
      <c r="R232" s="4">
        <v>456</v>
      </c>
      <c r="S232" s="4">
        <v>4964</v>
      </c>
      <c r="T232" s="4">
        <v>749</v>
      </c>
      <c r="U232" s="4">
        <v>103</v>
      </c>
      <c r="V232" s="4">
        <v>406600</v>
      </c>
      <c r="W232" s="4">
        <v>8</v>
      </c>
      <c r="X232" s="1" t="s">
        <v>319</v>
      </c>
      <c r="Y232" s="1" t="s">
        <v>318</v>
      </c>
      <c r="Z232" s="3">
        <v>45268.113969907405</v>
      </c>
      <c r="AA232" s="2" t="s">
        <v>317</v>
      </c>
      <c r="AB232" s="1" t="s">
        <v>316</v>
      </c>
    </row>
    <row r="233" spans="1:28">
      <c r="A233" s="4">
        <v>231</v>
      </c>
      <c r="B233" s="1" t="s">
        <v>315</v>
      </c>
      <c r="C233" s="1" t="s">
        <v>315</v>
      </c>
      <c r="D233" s="5" t="s">
        <v>314</v>
      </c>
      <c r="E233" s="1" t="s">
        <v>313</v>
      </c>
      <c r="F233" s="1" t="s">
        <v>312</v>
      </c>
      <c r="G233" s="10"/>
      <c r="H233" s="10" t="str">
        <f>IF(Q233&lt;100000,"1.마이크로-10만명 미만","2.메가-10만명 이상")</f>
        <v>1.마이크로-10만명 미만</v>
      </c>
      <c r="I233" s="10" t="str">
        <f ca="1">IFERROR(__xludf.DUMMYFUNCTION("iferror(REGEXEXTRACT(E233,""[a-zA-Z0-9._%+-]+@[a-zA-Z0-9.-]+\.[a-zA-Z]{2,}""),""2.이메일 없음"")"),"2.이메일 없음")</f>
        <v>2.이메일 없음</v>
      </c>
      <c r="J233" s="10">
        <f>IFERROR((S233+T233+U233)/V233,"")</f>
        <v>5.9373848987108659E-2</v>
      </c>
      <c r="K233" s="9">
        <f>IFERROR(U233/V233,"")</f>
        <v>1.8324125230202578E-3</v>
      </c>
      <c r="L233" s="8">
        <f>IFERROR(MIN(Q233/1000*1.5, 150),"")</f>
        <v>31.799999999999997</v>
      </c>
      <c r="M233" s="7">
        <f>IFERROR(V233/Q233,"")</f>
        <v>5.1226415094339623</v>
      </c>
      <c r="N233" s="6">
        <f>IFERROR((S233+U233)/Q233,"")</f>
        <v>0.29061320754716979</v>
      </c>
      <c r="O233" s="6">
        <f>IFERROR(100/(L233+1),"")</f>
        <v>3.0487804878048781</v>
      </c>
      <c r="P233" s="5" t="s">
        <v>311</v>
      </c>
      <c r="Q233" s="4">
        <v>21200</v>
      </c>
      <c r="R233" s="4">
        <v>38</v>
      </c>
      <c r="S233" s="4">
        <v>5962</v>
      </c>
      <c r="T233" s="4">
        <v>287</v>
      </c>
      <c r="U233" s="4">
        <v>199</v>
      </c>
      <c r="V233" s="4">
        <v>108600</v>
      </c>
      <c r="W233" s="4">
        <v>10</v>
      </c>
      <c r="X233" s="1" t="s">
        <v>310</v>
      </c>
      <c r="Y233" s="1" t="s">
        <v>309</v>
      </c>
      <c r="Z233" s="3">
        <v>45828.157025462962</v>
      </c>
      <c r="AA233" s="2" t="s">
        <v>308</v>
      </c>
      <c r="AB233" s="1" t="s">
        <v>307</v>
      </c>
    </row>
    <row r="234" spans="1:28">
      <c r="A234" s="4">
        <v>232</v>
      </c>
      <c r="B234" s="1" t="s">
        <v>306</v>
      </c>
      <c r="C234" s="1" t="s">
        <v>301</v>
      </c>
      <c r="D234" s="5" t="s">
        <v>305</v>
      </c>
      <c r="E234" s="1" t="s">
        <v>304</v>
      </c>
      <c r="F234" s="1" t="s">
        <v>303</v>
      </c>
      <c r="G234" s="10"/>
      <c r="H234" s="10" t="str">
        <f>IF(Q234&lt;100000,"1.마이크로-10만명 미만","2.메가-10만명 이상")</f>
        <v>1.마이크로-10만명 미만</v>
      </c>
      <c r="I234" s="10" t="str">
        <f ca="1">IFERROR(__xludf.DUMMYFUNCTION("iferror(REGEXEXTRACT(E234,""[a-zA-Z0-9._%+-]+@[a-zA-Z0-9.-]+\.[a-zA-Z]{2,}""),""2.이메일 없음"")"),"2.이메일 없음")</f>
        <v>2.이메일 없음</v>
      </c>
      <c r="J234" s="10">
        <f>IFERROR((S234+T234+U234)/V234,"")</f>
        <v>2.0481208987870352E-2</v>
      </c>
      <c r="K234" s="9">
        <f>IFERROR(U234/V234,"")</f>
        <v>4.374627162457745E-3</v>
      </c>
      <c r="L234" s="8">
        <f>IFERROR(MIN(Q234/1000*1.5, 150),"")</f>
        <v>1.5089999999999999</v>
      </c>
      <c r="M234" s="7">
        <f>IFERROR(V234/Q234,"")</f>
        <v>4.999005964214712</v>
      </c>
      <c r="N234" s="6">
        <f>IFERROR((S234+U234)/Q234,"")</f>
        <v>0.10039761431411531</v>
      </c>
      <c r="O234" s="6">
        <f>IFERROR(100/(L234+1),"")</f>
        <v>39.856516540454365</v>
      </c>
      <c r="P234" s="5" t="s">
        <v>302</v>
      </c>
      <c r="Q234" s="4">
        <v>1006</v>
      </c>
      <c r="R234" s="4">
        <v>21</v>
      </c>
      <c r="S234" s="4">
        <v>79</v>
      </c>
      <c r="T234" s="4">
        <v>2</v>
      </c>
      <c r="U234" s="4">
        <v>22</v>
      </c>
      <c r="V234" s="4">
        <v>5029</v>
      </c>
      <c r="W234" s="4">
        <v>12</v>
      </c>
      <c r="X234" s="1" t="s">
        <v>23</v>
      </c>
      <c r="Y234" s="1" t="s">
        <v>301</v>
      </c>
      <c r="Z234" s="3">
        <v>45465.325011574074</v>
      </c>
      <c r="AA234" s="2" t="s">
        <v>300</v>
      </c>
      <c r="AB234" s="1" t="s">
        <v>299</v>
      </c>
    </row>
    <row r="235" spans="1:28">
      <c r="A235" s="4">
        <v>233</v>
      </c>
      <c r="B235" s="1" t="s">
        <v>298</v>
      </c>
      <c r="C235" s="1" t="s">
        <v>297</v>
      </c>
      <c r="D235" s="5" t="s">
        <v>296</v>
      </c>
      <c r="E235" s="1" t="s">
        <v>295</v>
      </c>
      <c r="F235" s="1" t="s">
        <v>294</v>
      </c>
      <c r="G235" s="10"/>
      <c r="H235" s="10" t="str">
        <f>IF(Q235&lt;100000,"1.마이크로-10만명 미만","2.메가-10만명 이상")</f>
        <v>1.마이크로-10만명 미만</v>
      </c>
      <c r="I235" s="10" t="str">
        <f ca="1">IFERROR(__xludf.DUMMYFUNCTION("iferror(REGEXEXTRACT(E235,""[a-zA-Z0-9._%+-]+@[a-zA-Z0-9.-]+\.[a-zA-Z]{2,}""),""2.이메일 없음"")"),"2.이메일 없음")</f>
        <v>2.이메일 없음</v>
      </c>
      <c r="J235" s="10">
        <f>IFERROR((S235+T235+U235)/V235,"")</f>
        <v>3.7793998377939987E-2</v>
      </c>
      <c r="K235" s="9">
        <f>IFERROR(U235/V235,"")</f>
        <v>4.0551500405515001E-3</v>
      </c>
      <c r="L235" s="8">
        <f>IFERROR(MIN(Q235/1000*1.5, 150),"")</f>
        <v>4.2824999999999998</v>
      </c>
      <c r="M235" s="7">
        <f>IFERROR(V235/Q235,"")</f>
        <v>2.1593695271453592</v>
      </c>
      <c r="N235" s="6">
        <f>IFERROR((S235+U235)/Q235,"")</f>
        <v>8.1260945709281968E-2</v>
      </c>
      <c r="O235" s="6">
        <f>IFERROR(100/(L235+1),"")</f>
        <v>18.930430667297681</v>
      </c>
      <c r="P235" s="5" t="s">
        <v>293</v>
      </c>
      <c r="Q235" s="4">
        <v>2855</v>
      </c>
      <c r="R235" s="4">
        <v>112</v>
      </c>
      <c r="S235" s="4">
        <v>207</v>
      </c>
      <c r="T235" s="4">
        <v>1</v>
      </c>
      <c r="U235" s="4">
        <v>25</v>
      </c>
      <c r="V235" s="4">
        <v>6165</v>
      </c>
      <c r="W235" s="4">
        <v>5</v>
      </c>
      <c r="X235" s="1" t="s">
        <v>23</v>
      </c>
      <c r="Y235" s="1" t="s">
        <v>292</v>
      </c>
      <c r="Z235" s="3">
        <v>45895.88076388889</v>
      </c>
      <c r="AA235" s="2" t="s">
        <v>291</v>
      </c>
      <c r="AB235" s="1" t="s">
        <v>290</v>
      </c>
    </row>
    <row r="236" spans="1:28">
      <c r="A236" s="4">
        <v>234</v>
      </c>
      <c r="B236" s="1" t="s">
        <v>289</v>
      </c>
      <c r="C236" s="1" t="s">
        <v>288</v>
      </c>
      <c r="D236" s="5" t="s">
        <v>287</v>
      </c>
      <c r="E236" s="1" t="s">
        <v>286</v>
      </c>
      <c r="F236" s="1" t="s">
        <v>285</v>
      </c>
      <c r="G236" s="10"/>
      <c r="H236" s="10" t="str">
        <f>IF(Q236&lt;100000,"1.마이크로-10만명 미만","2.메가-10만명 이상")</f>
        <v>2.메가-10만명 이상</v>
      </c>
      <c r="I236" s="10" t="str">
        <f ca="1">IFERROR(__xludf.DUMMYFUNCTION("iferror(REGEXEXTRACT(E236,""[a-zA-Z0-9._%+-]+@[a-zA-Z0-9.-]+\.[a-zA-Z]{2,}""),""2.이메일 없음"")"),"Georgiaregler@yahoo.com")</f>
        <v>Georgiaregler@yahoo.com</v>
      </c>
      <c r="J236" s="10">
        <f>IFERROR((S236+T236+U236)/V236,"")</f>
        <v>5.5523012552301257E-2</v>
      </c>
      <c r="K236" s="9">
        <f>IFERROR(U236/V236,"")</f>
        <v>2.677824267782427E-3</v>
      </c>
      <c r="L236" s="8">
        <f>IFERROR(MIN(Q236/1000*1.5, 150),"")</f>
        <v>150</v>
      </c>
      <c r="M236" s="7">
        <f>IFERROR(V236/Q236,"")</f>
        <v>0.1959016393442623</v>
      </c>
      <c r="N236" s="6">
        <f>IFERROR((S236+U236)/Q236,"")</f>
        <v>1.0508196721311475E-2</v>
      </c>
      <c r="O236" s="6">
        <f>IFERROR(100/(L236+1),"")</f>
        <v>0.66225165562913912</v>
      </c>
      <c r="P236" s="5" t="s">
        <v>284</v>
      </c>
      <c r="Q236" s="4">
        <v>122000</v>
      </c>
      <c r="R236" s="4">
        <v>779</v>
      </c>
      <c r="S236" s="4">
        <v>1218</v>
      </c>
      <c r="T236" s="4">
        <v>45</v>
      </c>
      <c r="U236" s="4">
        <v>64</v>
      </c>
      <c r="V236" s="4">
        <v>23900</v>
      </c>
      <c r="W236" s="4">
        <v>25</v>
      </c>
      <c r="X236" s="1" t="s">
        <v>283</v>
      </c>
      <c r="Y236" s="1" t="s">
        <v>282</v>
      </c>
      <c r="Z236" s="3">
        <v>45849.88484953704</v>
      </c>
      <c r="AA236" s="2" t="s">
        <v>281</v>
      </c>
      <c r="AB236" s="1" t="s">
        <v>280</v>
      </c>
    </row>
    <row r="237" spans="1:28">
      <c r="A237" s="4">
        <v>235</v>
      </c>
      <c r="B237" s="1" t="s">
        <v>279</v>
      </c>
      <c r="C237" s="1" t="s">
        <v>278</v>
      </c>
      <c r="D237" s="5" t="s">
        <v>277</v>
      </c>
      <c r="E237" s="1" t="s">
        <v>276</v>
      </c>
      <c r="F237" s="1"/>
      <c r="G237" s="10"/>
      <c r="H237" s="10" t="str">
        <f>IF(Q237&lt;100000,"1.마이크로-10만명 미만","2.메가-10만명 이상")</f>
        <v>1.마이크로-10만명 미만</v>
      </c>
      <c r="I237" s="10" t="str">
        <f ca="1">IFERROR(__xludf.DUMMYFUNCTION("iferror(REGEXEXTRACT(E237,""[a-zA-Z0-9._%+-]+@[a-zA-Z0-9.-]+\.[a-zA-Z]{2,}""),""2.이메일 없음"")"),"2.이메일 없음")</f>
        <v>2.이메일 없음</v>
      </c>
      <c r="J237" s="10">
        <f>IFERROR((S237+T237+U237)/V237,"")</f>
        <v>1.4915938130464022E-2</v>
      </c>
      <c r="K237" s="9">
        <f>IFERROR(U237/V237,"")</f>
        <v>1.7484868863483523E-4</v>
      </c>
      <c r="L237" s="8">
        <f>IFERROR(MIN(Q237/1000*1.5, 150),"")</f>
        <v>49.050000000000004</v>
      </c>
      <c r="M237" s="7">
        <f>IFERROR(V237/Q237,"")</f>
        <v>4.5474006116207955</v>
      </c>
      <c r="N237" s="6">
        <f>IFERROR((S237+U237)/Q237,"")</f>
        <v>6.6238532110091744E-2</v>
      </c>
      <c r="O237" s="6">
        <f>IFERROR(100/(L237+1),"")</f>
        <v>1.9980019980019978</v>
      </c>
      <c r="P237" s="5" t="s">
        <v>275</v>
      </c>
      <c r="Q237" s="4">
        <v>32700</v>
      </c>
      <c r="R237" s="4">
        <v>330</v>
      </c>
      <c r="S237" s="4">
        <v>2140</v>
      </c>
      <c r="T237" s="4">
        <v>52</v>
      </c>
      <c r="U237" s="4">
        <v>26</v>
      </c>
      <c r="V237" s="4">
        <v>148700</v>
      </c>
      <c r="W237" s="4">
        <v>10</v>
      </c>
      <c r="X237" s="1" t="s">
        <v>274</v>
      </c>
      <c r="Y237" s="1" t="s">
        <v>273</v>
      </c>
      <c r="Z237" s="3">
        <v>45562.898379629631</v>
      </c>
      <c r="AA237" s="2" t="s">
        <v>272</v>
      </c>
      <c r="AB237" s="1" t="s">
        <v>271</v>
      </c>
    </row>
    <row r="238" spans="1:28">
      <c r="A238" s="4">
        <v>236</v>
      </c>
      <c r="B238" s="1" t="s">
        <v>270</v>
      </c>
      <c r="C238" s="1" t="s">
        <v>269</v>
      </c>
      <c r="D238" s="5" t="s">
        <v>268</v>
      </c>
      <c r="E238" s="1" t="s">
        <v>267</v>
      </c>
      <c r="F238" s="1" t="s">
        <v>266</v>
      </c>
      <c r="G238" s="10"/>
      <c r="H238" s="10" t="str">
        <f>IF(Q238&lt;100000,"1.마이크로-10만명 미만","2.메가-10만명 이상")</f>
        <v>1.마이크로-10만명 미만</v>
      </c>
      <c r="I238" s="10" t="str">
        <f ca="1">IFERROR(__xludf.DUMMYFUNCTION("iferror(REGEXEXTRACT(E238,""[a-zA-Z0-9._%+-]+@[a-zA-Z0-9.-]+\.[a-zA-Z]{2,}""),""2.이메일 없음"")"),"2.이메일 없음")</f>
        <v>2.이메일 없음</v>
      </c>
      <c r="J238" s="10">
        <f>IFERROR((S238+T238+U238)/V238,"")</f>
        <v>4.6307692307692307E-2</v>
      </c>
      <c r="K238" s="9">
        <f>IFERROR(U238/V238,"")</f>
        <v>3.076923076923077E-4</v>
      </c>
      <c r="L238" s="8">
        <f>IFERROR(MIN(Q238/1000*1.5, 150),"")</f>
        <v>24</v>
      </c>
      <c r="M238" s="7">
        <f>IFERROR(V238/Q238,"")</f>
        <v>4.875</v>
      </c>
      <c r="N238" s="6">
        <f>IFERROR((S238+U238)/Q238,"")</f>
        <v>0.22031249999999999</v>
      </c>
      <c r="O238" s="6">
        <f>IFERROR(100/(L238+1),"")</f>
        <v>4</v>
      </c>
      <c r="P238" s="5" t="s">
        <v>265</v>
      </c>
      <c r="Q238" s="4">
        <v>16000</v>
      </c>
      <c r="R238" s="4">
        <v>48</v>
      </c>
      <c r="S238" s="4">
        <v>3501</v>
      </c>
      <c r="T238" s="4">
        <v>87</v>
      </c>
      <c r="U238" s="4">
        <v>24</v>
      </c>
      <c r="V238" s="4">
        <v>78000</v>
      </c>
      <c r="W238" s="4">
        <v>18</v>
      </c>
      <c r="X238" s="1" t="s">
        <v>84</v>
      </c>
      <c r="Y238" s="1" t="s">
        <v>83</v>
      </c>
      <c r="Z238" s="3">
        <v>45766.068206018521</v>
      </c>
      <c r="AA238" s="2" t="s">
        <v>264</v>
      </c>
      <c r="AB238" s="1" t="s">
        <v>263</v>
      </c>
    </row>
    <row r="239" spans="1:28">
      <c r="A239" s="4">
        <v>237</v>
      </c>
      <c r="B239" s="1" t="s">
        <v>262</v>
      </c>
      <c r="C239" s="1" t="s">
        <v>257</v>
      </c>
      <c r="D239" s="5" t="s">
        <v>261</v>
      </c>
      <c r="E239" s="1" t="s">
        <v>260</v>
      </c>
      <c r="F239" s="1" t="s">
        <v>259</v>
      </c>
      <c r="G239" s="10"/>
      <c r="H239" s="10" t="str">
        <f>IF(Q239&lt;100000,"1.마이크로-10만명 미만","2.메가-10만명 이상")</f>
        <v>2.메가-10만명 이상</v>
      </c>
      <c r="I239" s="10" t="str">
        <f ca="1">IFERROR(__xludf.DUMMYFUNCTION("iferror(REGEXEXTRACT(E239,""[a-zA-Z0-9._%+-]+@[a-zA-Z0-9.-]+\.[a-zA-Z]{2,}""),""2.이메일 없음"")"),"2.이메일 없음")</f>
        <v>2.이메일 없음</v>
      </c>
      <c r="J239" s="10">
        <f>IFERROR((S239+T239+U239)/V239,"")</f>
        <v>1.8583959899749373E-2</v>
      </c>
      <c r="K239" s="9">
        <f>IFERROR(U239/V239,"")</f>
        <v>3.1328320802005011E-4</v>
      </c>
      <c r="L239" s="8">
        <f>IFERROR(MIN(Q239/1000*1.5, 150),"")</f>
        <v>150</v>
      </c>
      <c r="M239" s="7">
        <f>IFERROR(V239/Q239,"")</f>
        <v>1.352542372881356E-2</v>
      </c>
      <c r="N239" s="6">
        <f>IFERROR((S239+U239)/Q239,"")</f>
        <v>2.3101694915254238E-4</v>
      </c>
      <c r="O239" s="6">
        <f>IFERROR(100/(L239+1),"")</f>
        <v>0.66225165562913912</v>
      </c>
      <c r="P239" s="5" t="s">
        <v>258</v>
      </c>
      <c r="Q239" s="4">
        <v>5900000</v>
      </c>
      <c r="R239" s="4">
        <v>5627</v>
      </c>
      <c r="S239" s="4">
        <v>1338</v>
      </c>
      <c r="T239" s="4">
        <v>120</v>
      </c>
      <c r="U239" s="4">
        <v>25</v>
      </c>
      <c r="V239" s="4">
        <v>79800</v>
      </c>
      <c r="W239" s="4">
        <v>36</v>
      </c>
      <c r="X239" s="1" t="s">
        <v>23</v>
      </c>
      <c r="Y239" s="1" t="s">
        <v>257</v>
      </c>
      <c r="Z239" s="3">
        <v>45640.002418981479</v>
      </c>
      <c r="AA239" s="2" t="s">
        <v>256</v>
      </c>
      <c r="AB239" s="1" t="s">
        <v>255</v>
      </c>
    </row>
    <row r="240" spans="1:28">
      <c r="A240" s="4">
        <v>238</v>
      </c>
      <c r="B240" s="1" t="s">
        <v>254</v>
      </c>
      <c r="C240" s="1" t="s">
        <v>254</v>
      </c>
      <c r="D240" s="5" t="s">
        <v>253</v>
      </c>
      <c r="E240" s="1" t="s">
        <v>252</v>
      </c>
      <c r="F240" s="1" t="s">
        <v>251</v>
      </c>
      <c r="G240" s="10"/>
      <c r="H240" s="10" t="str">
        <f>IF(Q240&lt;100000,"1.마이크로-10만명 미만","2.메가-10만명 이상")</f>
        <v>1.마이크로-10만명 미만</v>
      </c>
      <c r="I240" s="10" t="str">
        <f ca="1">IFERROR(__xludf.DUMMYFUNCTION("iferror(REGEXEXTRACT(E240,""[a-zA-Z0-9._%+-]+@[a-zA-Z0-9.-]+\.[a-zA-Z]{2,}""),""2.이메일 없음"")"),"2.이메일 없음")</f>
        <v>2.이메일 없음</v>
      </c>
      <c r="J240" s="10">
        <f>IFERROR((S240+T240+U240)/V240,"")</f>
        <v>6.0320641282565132E-3</v>
      </c>
      <c r="K240" s="9">
        <f>IFERROR(U240/V240,"")</f>
        <v>1.0020040080160321E-4</v>
      </c>
      <c r="L240" s="8">
        <f>IFERROR(MIN(Q240/1000*1.5, 150),"")</f>
        <v>1.2885</v>
      </c>
      <c r="M240" s="7">
        <f>IFERROR(V240/Q240,"")</f>
        <v>58.090803259604193</v>
      </c>
      <c r="N240" s="6">
        <f>IFERROR((S240+U240)/Q240,"")</f>
        <v>0.28055878928987193</v>
      </c>
      <c r="O240" s="6">
        <f>IFERROR(100/(L240+1),"")</f>
        <v>43.696744592527857</v>
      </c>
      <c r="P240" s="5" t="s">
        <v>250</v>
      </c>
      <c r="Q240" s="4">
        <v>859</v>
      </c>
      <c r="R240" s="4">
        <v>83</v>
      </c>
      <c r="S240" s="4">
        <v>236</v>
      </c>
      <c r="T240" s="4">
        <v>60</v>
      </c>
      <c r="U240" s="4">
        <v>5</v>
      </c>
      <c r="V240" s="4">
        <v>49900</v>
      </c>
      <c r="W240" s="4">
        <v>9</v>
      </c>
      <c r="X240" s="1" t="s">
        <v>249</v>
      </c>
      <c r="Y240" s="1" t="s">
        <v>248</v>
      </c>
      <c r="Z240" s="3">
        <v>45769.038194444445</v>
      </c>
      <c r="AA240" s="2" t="s">
        <v>247</v>
      </c>
      <c r="AB240" s="1" t="s">
        <v>246</v>
      </c>
    </row>
    <row r="241" spans="1:28">
      <c r="A241" s="4">
        <v>239</v>
      </c>
      <c r="B241" s="1" t="s">
        <v>245</v>
      </c>
      <c r="C241" s="1" t="s">
        <v>239</v>
      </c>
      <c r="D241" s="5" t="s">
        <v>244</v>
      </c>
      <c r="E241" s="1" t="s">
        <v>243</v>
      </c>
      <c r="F241" s="1" t="s">
        <v>242</v>
      </c>
      <c r="G241" s="10"/>
      <c r="H241" s="10" t="str">
        <f>IF(Q241&lt;100000,"1.마이크로-10만명 미만","2.메가-10만명 이상")</f>
        <v>1.마이크로-10만명 미만</v>
      </c>
      <c r="I241" s="10" t="str">
        <f ca="1">IFERROR(__xludf.DUMMYFUNCTION("iferror(REGEXEXTRACT(E241,""[a-zA-Z0-9._%+-]+@[a-zA-Z0-9.-]+\.[a-zA-Z]{2,}""),""2.이메일 없음"")"),"2.이메일 없음")</f>
        <v>2.이메일 없음</v>
      </c>
      <c r="J241" s="10">
        <f>IFERROR((S241+T241+U241)/V241,"")</f>
        <v>1.133953488372093E-3</v>
      </c>
      <c r="K241" s="9">
        <f>IFERROR(U241/V241,"")</f>
        <v>5.8139534883720927E-6</v>
      </c>
      <c r="L241" s="8">
        <f>IFERROR(MIN(Q241/1000*1.5, 150),"")</f>
        <v>99.75</v>
      </c>
      <c r="M241" s="7">
        <f>IFERROR(V241/Q241,"")</f>
        <v>64.661654135338352</v>
      </c>
      <c r="N241" s="6">
        <f>IFERROR((S241+U241)/Q241,"")</f>
        <v>7.1368421052631581E-2</v>
      </c>
      <c r="O241" s="6">
        <f>IFERROR(100/(L241+1),"")</f>
        <v>0.99255583126550873</v>
      </c>
      <c r="P241" s="5" t="s">
        <v>241</v>
      </c>
      <c r="Q241" s="4">
        <v>66500</v>
      </c>
      <c r="R241" s="4">
        <v>694</v>
      </c>
      <c r="S241" s="4">
        <v>4721</v>
      </c>
      <c r="T241" s="4">
        <v>130</v>
      </c>
      <c r="U241" s="4">
        <v>25</v>
      </c>
      <c r="V241" s="4">
        <v>4300000</v>
      </c>
      <c r="W241" s="4">
        <v>20</v>
      </c>
      <c r="X241" s="1" t="s">
        <v>240</v>
      </c>
      <c r="Y241" s="1" t="s">
        <v>239</v>
      </c>
      <c r="Z241" s="3">
        <v>45592.09715277778</v>
      </c>
      <c r="AA241" s="2" t="s">
        <v>238</v>
      </c>
      <c r="AB241" s="1" t="s">
        <v>237</v>
      </c>
    </row>
    <row r="242" spans="1:28">
      <c r="A242" s="4">
        <v>240</v>
      </c>
      <c r="B242" s="1" t="s">
        <v>236</v>
      </c>
      <c r="C242" s="1" t="s">
        <v>235</v>
      </c>
      <c r="D242" s="5" t="s">
        <v>234</v>
      </c>
      <c r="E242" s="1" t="s">
        <v>233</v>
      </c>
      <c r="F242" s="1" t="s">
        <v>232</v>
      </c>
      <c r="G242" s="10"/>
      <c r="H242" s="10" t="str">
        <f>IF(Q242&lt;100000,"1.마이크로-10만명 미만","2.메가-10만명 이상")</f>
        <v>1.마이크로-10만명 미만</v>
      </c>
      <c r="I242" s="10" t="str">
        <f ca="1">IFERROR(__xludf.DUMMYFUNCTION("iferror(REGEXEXTRACT(E242,""[a-zA-Z0-9._%+-]+@[a-zA-Z0-9.-]+\.[a-zA-Z]{2,}""),""2.이메일 없음"")"),"kriselamae721@gmail.com")</f>
        <v>kriselamae721@gmail.com</v>
      </c>
      <c r="J242" s="10">
        <f>IFERROR((S242+T242+U242)/V242,"")</f>
        <v>4.3375207395117327E-2</v>
      </c>
      <c r="K242" s="9">
        <f>IFERROR(U242/V242,"")</f>
        <v>3.3183218772220905E-3</v>
      </c>
      <c r="L242" s="8">
        <f>IFERROR(MIN(Q242/1000*1.5, 150),"")</f>
        <v>38.099999999999994</v>
      </c>
      <c r="M242" s="7">
        <f>IFERROR(V242/Q242,"")</f>
        <v>0.16610236220472441</v>
      </c>
      <c r="N242" s="6">
        <f>IFERROR((S242+U242)/Q242,"")</f>
        <v>7.1259842519685044E-3</v>
      </c>
      <c r="O242" s="6">
        <f>IFERROR(100/(L242+1),"")</f>
        <v>2.5575447570332486</v>
      </c>
      <c r="P242" s="5" t="s">
        <v>231</v>
      </c>
      <c r="Q242" s="4">
        <v>25400</v>
      </c>
      <c r="R242" s="4">
        <v>238</v>
      </c>
      <c r="S242" s="4">
        <v>167</v>
      </c>
      <c r="T242" s="4">
        <v>2</v>
      </c>
      <c r="U242" s="4">
        <v>14</v>
      </c>
      <c r="V242" s="4">
        <v>4219</v>
      </c>
      <c r="W242" s="4">
        <v>12</v>
      </c>
      <c r="X242" s="1" t="s">
        <v>230</v>
      </c>
      <c r="Y242" s="1" t="s">
        <v>229</v>
      </c>
      <c r="Z242" s="3">
        <v>45869.178703703707</v>
      </c>
      <c r="AA242" s="2" t="s">
        <v>228</v>
      </c>
      <c r="AB242" s="1" t="s">
        <v>227</v>
      </c>
    </row>
    <row r="243" spans="1:28">
      <c r="A243" s="4">
        <v>241</v>
      </c>
      <c r="B243" s="1" t="s">
        <v>226</v>
      </c>
      <c r="C243" s="1" t="s">
        <v>225</v>
      </c>
      <c r="D243" s="5" t="s">
        <v>224</v>
      </c>
      <c r="E243" s="1" t="s">
        <v>223</v>
      </c>
      <c r="F243" s="1" t="s">
        <v>222</v>
      </c>
      <c r="G243" s="10"/>
      <c r="H243" s="10" t="str">
        <f>IF(Q243&lt;100000,"1.마이크로-10만명 미만","2.메가-10만명 이상")</f>
        <v>1.마이크로-10만명 미만</v>
      </c>
      <c r="I243" s="10" t="str">
        <f ca="1">IFERROR(__xludf.DUMMYFUNCTION("iferror(REGEXEXTRACT(E243,""[a-zA-Z0-9._%+-]+@[a-zA-Z0-9.-]+\.[a-zA-Z]{2,}""),""2.이메일 없음"")"),"2.이메일 없음")</f>
        <v>2.이메일 없음</v>
      </c>
      <c r="J243" s="10">
        <f>IFERROR((S243+T243+U243)/V243,"")</f>
        <v>1.8274111675126905E-2</v>
      </c>
      <c r="K243" s="9">
        <f>IFERROR(U243/V243,"")</f>
        <v>3.0456852791878173E-4</v>
      </c>
      <c r="L243" s="8">
        <f>IFERROR(MIN(Q243/1000*1.5, 150),"")</f>
        <v>24</v>
      </c>
      <c r="M243" s="7">
        <f>IFERROR(V243/Q243,"")</f>
        <v>1.23125</v>
      </c>
      <c r="N243" s="6">
        <f>IFERROR((S243+U243)/Q243,"")</f>
        <v>2.0750000000000001E-2</v>
      </c>
      <c r="O243" s="6">
        <f>IFERROR(100/(L243+1),"")</f>
        <v>4</v>
      </c>
      <c r="P243" s="5" t="s">
        <v>221</v>
      </c>
      <c r="Q243" s="4">
        <v>16000</v>
      </c>
      <c r="R243" s="4">
        <v>252</v>
      </c>
      <c r="S243" s="4">
        <v>326</v>
      </c>
      <c r="T243" s="4">
        <v>28</v>
      </c>
      <c r="U243" s="4">
        <v>6</v>
      </c>
      <c r="V243" s="4">
        <v>19700</v>
      </c>
      <c r="W243" s="4">
        <v>15</v>
      </c>
      <c r="X243" s="1" t="s">
        <v>220</v>
      </c>
      <c r="Y243" s="1" t="s">
        <v>219</v>
      </c>
      <c r="Z243" s="3">
        <v>45857.944016203706</v>
      </c>
      <c r="AA243" s="2" t="s">
        <v>218</v>
      </c>
      <c r="AB243" s="1" t="s">
        <v>217</v>
      </c>
    </row>
    <row r="244" spans="1:28">
      <c r="A244" s="4">
        <v>242</v>
      </c>
      <c r="B244" s="1" t="s">
        <v>216</v>
      </c>
      <c r="C244" s="1" t="s">
        <v>215</v>
      </c>
      <c r="D244" s="5" t="s">
        <v>214</v>
      </c>
      <c r="E244" s="1" t="s">
        <v>213</v>
      </c>
      <c r="F244" s="1" t="s">
        <v>212</v>
      </c>
      <c r="G244" s="10"/>
      <c r="H244" s="10" t="str">
        <f>IF(Q244&lt;100000,"1.마이크로-10만명 미만","2.메가-10만명 이상")</f>
        <v>2.메가-10만명 이상</v>
      </c>
      <c r="I244" s="10" t="str">
        <f ca="1">IFERROR(__xludf.DUMMYFUNCTION("iferror(REGEXEXTRACT(E244,""[a-zA-Z0-9._%+-]+@[a-zA-Z0-9.-]+\.[a-zA-Z]{2,}""),""2.이메일 없음"")"),"2.이메일 없음")</f>
        <v>2.이메일 없음</v>
      </c>
      <c r="J244" s="10">
        <f>IFERROR((S244+T244+U244)/V244,"")</f>
        <v>0.13709217391304349</v>
      </c>
      <c r="K244" s="9">
        <f>IFERROR(U244/V244,"")</f>
        <v>5.9260869565217389E-4</v>
      </c>
      <c r="L244" s="8">
        <f>IFERROR(MIN(Q244/1000*1.5, 150),"")</f>
        <v>150</v>
      </c>
      <c r="M244" s="7">
        <f>IFERROR(V244/Q244,"")</f>
        <v>5.70861255894763</v>
      </c>
      <c r="N244" s="6">
        <f>IFERROR((S244+U244)/Q244,"")</f>
        <v>0.75915363613799947</v>
      </c>
      <c r="O244" s="6">
        <f>IFERROR(100/(L244+1),"")</f>
        <v>0.66225165562913912</v>
      </c>
      <c r="P244" s="5" t="s">
        <v>211</v>
      </c>
      <c r="Q244" s="4">
        <v>402900</v>
      </c>
      <c r="R244" s="4">
        <v>389</v>
      </c>
      <c r="S244" s="4">
        <v>304500</v>
      </c>
      <c r="T244" s="4">
        <v>9449</v>
      </c>
      <c r="U244" s="4">
        <v>1363</v>
      </c>
      <c r="V244" s="4">
        <v>2300000</v>
      </c>
      <c r="W244" s="4">
        <v>8</v>
      </c>
      <c r="X244" s="1" t="s">
        <v>23</v>
      </c>
      <c r="Y244" s="1" t="s">
        <v>210</v>
      </c>
      <c r="Z244" s="3">
        <v>45194.294918981483</v>
      </c>
      <c r="AA244" s="2" t="s">
        <v>209</v>
      </c>
      <c r="AB244" s="1" t="s">
        <v>208</v>
      </c>
    </row>
    <row r="245" spans="1:28">
      <c r="A245" s="4">
        <v>243</v>
      </c>
      <c r="B245" s="1" t="s">
        <v>207</v>
      </c>
      <c r="C245" s="1" t="s">
        <v>207</v>
      </c>
      <c r="D245" s="5" t="s">
        <v>206</v>
      </c>
      <c r="E245" s="1" t="s">
        <v>205</v>
      </c>
      <c r="F245" s="1" t="s">
        <v>204</v>
      </c>
      <c r="G245" s="10"/>
      <c r="H245" s="10" t="str">
        <f>IF(Q245&lt;100000,"1.마이크로-10만명 미만","2.메가-10만명 이상")</f>
        <v>1.마이크로-10만명 미만</v>
      </c>
      <c r="I245" s="10" t="str">
        <f ca="1">IFERROR(__xludf.DUMMYFUNCTION("iferror(REGEXEXTRACT(E245,""[a-zA-Z0-9._%+-]+@[a-zA-Z0-9.-]+\.[a-zA-Z]{2,}""),""2.이메일 없음"")"),"jeageul@hotmail.com")</f>
        <v>jeageul@hotmail.com</v>
      </c>
      <c r="J245" s="10">
        <f>IFERROR((S245+T245+U245)/V245,"")</f>
        <v>4.3308270676691726E-2</v>
      </c>
      <c r="K245" s="9">
        <f>IFERROR(U245/V245,"")</f>
        <v>2.1052631578947368E-3</v>
      </c>
      <c r="L245" s="8">
        <f>IFERROR(MIN(Q245/1000*1.5, 150),"")</f>
        <v>4.2510000000000003</v>
      </c>
      <c r="M245" s="7">
        <f>IFERROR(V245/Q245,"")</f>
        <v>1.1732533521524346</v>
      </c>
      <c r="N245" s="6">
        <f>IFERROR((S245+U245)/Q245,"")</f>
        <v>4.9047282992237123E-2</v>
      </c>
      <c r="O245" s="6">
        <f>IFERROR(100/(L245+1),"")</f>
        <v>19.043991620643684</v>
      </c>
      <c r="P245" s="5" t="s">
        <v>203</v>
      </c>
      <c r="Q245" s="4">
        <v>2834</v>
      </c>
      <c r="R245" s="4">
        <v>31</v>
      </c>
      <c r="S245" s="4">
        <v>132</v>
      </c>
      <c r="T245" s="4">
        <v>5</v>
      </c>
      <c r="U245" s="4">
        <v>7</v>
      </c>
      <c r="V245" s="4">
        <v>3325</v>
      </c>
      <c r="W245" s="4">
        <v>15</v>
      </c>
      <c r="X245" s="1" t="s">
        <v>202</v>
      </c>
      <c r="Y245" s="1" t="s">
        <v>201</v>
      </c>
      <c r="Z245" s="3">
        <v>45851.832372685189</v>
      </c>
      <c r="AA245" s="2" t="s">
        <v>200</v>
      </c>
      <c r="AB245" s="1" t="s">
        <v>199</v>
      </c>
    </row>
    <row r="246" spans="1:28">
      <c r="A246" s="4">
        <v>244</v>
      </c>
      <c r="B246" s="1" t="s">
        <v>198</v>
      </c>
      <c r="C246" s="1" t="s">
        <v>197</v>
      </c>
      <c r="D246" s="5" t="s">
        <v>196</v>
      </c>
      <c r="E246" s="1" t="s">
        <v>195</v>
      </c>
      <c r="F246" s="1" t="s">
        <v>194</v>
      </c>
      <c r="G246" s="10"/>
      <c r="H246" s="10" t="str">
        <f>IF(Q246&lt;100000,"1.마이크로-10만명 미만","2.메가-10만명 이상")</f>
        <v>1.마이크로-10만명 미만</v>
      </c>
      <c r="I246" s="10" t="str">
        <f ca="1">IFERROR(__xludf.DUMMYFUNCTION("iferror(REGEXEXTRACT(E246,""[a-zA-Z0-9._%+-]+@[a-zA-Z0-9.-]+\.[a-zA-Z]{2,}""),""2.이메일 없음"")"),"charlie@mostwantedmodels.com")</f>
        <v>charlie@mostwantedmodels.com</v>
      </c>
      <c r="J246" s="10">
        <f>IFERROR((S246+T246+U246)/V246,"")</f>
        <v>1.4917102966841187E-2</v>
      </c>
      <c r="K246" s="9">
        <f>IFERROR(U246/V246,"")</f>
        <v>1.3961605584642233E-4</v>
      </c>
      <c r="L246" s="8">
        <f>IFERROR(MIN(Q246/1000*1.5, 150),"")</f>
        <v>109.5</v>
      </c>
      <c r="M246" s="7">
        <f>IFERROR(V246/Q246,"")</f>
        <v>3.1397260273972605</v>
      </c>
      <c r="N246" s="6">
        <f>IFERROR((S246+U246)/Q246,"")</f>
        <v>4.4369863013698628E-2</v>
      </c>
      <c r="O246" s="6">
        <f>IFERROR(100/(L246+1),"")</f>
        <v>0.90497737556561086</v>
      </c>
      <c r="P246" s="5" t="s">
        <v>193</v>
      </c>
      <c r="Q246" s="4">
        <v>73000</v>
      </c>
      <c r="R246" s="4">
        <v>741</v>
      </c>
      <c r="S246" s="4">
        <v>3207</v>
      </c>
      <c r="T246" s="4">
        <v>180</v>
      </c>
      <c r="U246" s="4">
        <v>32</v>
      </c>
      <c r="V246" s="4">
        <v>229200</v>
      </c>
      <c r="W246" s="4">
        <v>7</v>
      </c>
      <c r="X246" s="1" t="s">
        <v>23</v>
      </c>
      <c r="Y246" s="1" t="s">
        <v>192</v>
      </c>
      <c r="Z246" s="3">
        <v>45217.927534722221</v>
      </c>
      <c r="AA246" s="2" t="s">
        <v>191</v>
      </c>
      <c r="AB246" s="1">
        <v>16278455</v>
      </c>
    </row>
    <row r="247" spans="1:28">
      <c r="A247" s="4">
        <v>245</v>
      </c>
      <c r="B247" s="1" t="s">
        <v>186</v>
      </c>
      <c r="C247" s="1" t="s">
        <v>186</v>
      </c>
      <c r="D247" s="5" t="s">
        <v>190</v>
      </c>
      <c r="E247" s="1" t="s">
        <v>189</v>
      </c>
      <c r="F247" s="1" t="s">
        <v>188</v>
      </c>
      <c r="G247" s="10"/>
      <c r="H247" s="10" t="str">
        <f>IF(Q247&lt;100000,"1.마이크로-10만명 미만","2.메가-10만명 이상")</f>
        <v>2.메가-10만명 이상</v>
      </c>
      <c r="I247" s="10" t="str">
        <f ca="1">IFERROR(__xludf.DUMMYFUNCTION("iferror(REGEXEXTRACT(E247,""[a-zA-Z0-9._%+-]+@[a-zA-Z0-9.-]+\.[a-zA-Z]{2,}""),""2.이메일 없음"")"),"lalynd@icloud.com")</f>
        <v>lalynd@icloud.com</v>
      </c>
      <c r="J247" s="10">
        <f>IFERROR((S247+T247+U247)/V247,"")</f>
        <v>2.9332638164754954E-2</v>
      </c>
      <c r="K247" s="9">
        <f>IFERROR(U247/V247,"")</f>
        <v>6.2565172054223153E-4</v>
      </c>
      <c r="L247" s="8">
        <f>IFERROR(MIN(Q247/1000*1.5, 150),"")</f>
        <v>150</v>
      </c>
      <c r="M247" s="7">
        <f>IFERROR(V247/Q247,"")</f>
        <v>0.85320284697508897</v>
      </c>
      <c r="N247" s="6">
        <f>IFERROR((S247+U247)/Q247,"")</f>
        <v>2.290035587188612E-2</v>
      </c>
      <c r="O247" s="6">
        <f>IFERROR(100/(L247+1),"")</f>
        <v>0.66225165562913912</v>
      </c>
      <c r="P247" s="5" t="s">
        <v>187</v>
      </c>
      <c r="Q247" s="4">
        <v>112400</v>
      </c>
      <c r="R247" s="4">
        <v>798</v>
      </c>
      <c r="S247" s="4">
        <v>2514</v>
      </c>
      <c r="T247" s="4">
        <v>239</v>
      </c>
      <c r="U247" s="4">
        <v>60</v>
      </c>
      <c r="V247" s="4">
        <v>95900</v>
      </c>
      <c r="W247" s="4">
        <v>96</v>
      </c>
      <c r="X247" s="1" t="s">
        <v>23</v>
      </c>
      <c r="Y247" s="1" t="s">
        <v>186</v>
      </c>
      <c r="Z247" s="3">
        <v>45870.262650462966</v>
      </c>
      <c r="AA247" s="2" t="s">
        <v>185</v>
      </c>
      <c r="AB247" s="1" t="s">
        <v>184</v>
      </c>
    </row>
    <row r="248" spans="1:28">
      <c r="A248" s="4">
        <v>246</v>
      </c>
      <c r="B248" s="1" t="s">
        <v>183</v>
      </c>
      <c r="C248" s="1" t="s">
        <v>182</v>
      </c>
      <c r="D248" s="5" t="s">
        <v>181</v>
      </c>
      <c r="E248" s="1" t="s">
        <v>180</v>
      </c>
      <c r="F248" s="1" t="s">
        <v>179</v>
      </c>
      <c r="G248" s="10"/>
      <c r="H248" s="10" t="str">
        <f>IF(Q248&lt;100000,"1.마이크로-10만명 미만","2.메가-10만명 이상")</f>
        <v>2.메가-10만명 이상</v>
      </c>
      <c r="I248" s="10" t="str">
        <f ca="1">IFERROR(__xludf.DUMMYFUNCTION("iferror(REGEXEXTRACT(E248,""[a-zA-Z0-9._%+-]+@[a-zA-Z0-9.-]+\.[a-zA-Z]{2,}""),""2.이메일 없음"")"),"thais.veras@mbdigital.pt")</f>
        <v>thais.veras@mbdigital.pt</v>
      </c>
      <c r="J248" s="10">
        <f>IFERROR((S248+T248+U248)/V248,"")</f>
        <v>0.13832780188920091</v>
      </c>
      <c r="K248" s="9">
        <f>IFERROR(U248/V248,"")</f>
        <v>2.0679091141179474E-4</v>
      </c>
      <c r="L248" s="8">
        <f>IFERROR(MIN(Q248/1000*1.5, 150),"")</f>
        <v>150</v>
      </c>
      <c r="M248" s="7">
        <f>IFERROR(V248/Q248,"")</f>
        <v>1.0675933496865631</v>
      </c>
      <c r="N248" s="6">
        <f>IFERROR((S248+U248)/Q248,"")</f>
        <v>0.14331152902698283</v>
      </c>
      <c r="O248" s="6">
        <f>IFERROR(100/(L248+1),"")</f>
        <v>0.66225165562913912</v>
      </c>
      <c r="P248" s="5" t="s">
        <v>178</v>
      </c>
      <c r="Q248" s="4">
        <v>366900</v>
      </c>
      <c r="R248" s="4">
        <v>832</v>
      </c>
      <c r="S248" s="4">
        <v>52500</v>
      </c>
      <c r="T248" s="4">
        <v>1602</v>
      </c>
      <c r="U248" s="4">
        <v>81</v>
      </c>
      <c r="V248" s="4">
        <v>391700</v>
      </c>
      <c r="W248" s="4">
        <v>49</v>
      </c>
      <c r="X248" s="1" t="s">
        <v>177</v>
      </c>
      <c r="Y248" s="1" t="s">
        <v>176</v>
      </c>
      <c r="Z248" s="3">
        <v>45180.139710648145</v>
      </c>
      <c r="AA248" s="2" t="s">
        <v>175</v>
      </c>
      <c r="AB248" s="1" t="s">
        <v>174</v>
      </c>
    </row>
    <row r="249" spans="1:28">
      <c r="A249" s="4">
        <v>247</v>
      </c>
      <c r="B249" s="1" t="s">
        <v>173</v>
      </c>
      <c r="C249" s="1" t="s">
        <v>172</v>
      </c>
      <c r="D249" s="5" t="s">
        <v>171</v>
      </c>
      <c r="E249" s="1" t="s">
        <v>170</v>
      </c>
      <c r="F249" s="1" t="s">
        <v>169</v>
      </c>
      <c r="G249" s="10"/>
      <c r="H249" s="10" t="str">
        <f>IF(Q249&lt;100000,"1.마이크로-10만명 미만","2.메가-10만명 이상")</f>
        <v>1.마이크로-10만명 미만</v>
      </c>
      <c r="I249" s="10" t="str">
        <f ca="1">IFERROR(__xludf.DUMMYFUNCTION("iferror(REGEXEXTRACT(E249,""[a-zA-Z0-9._%+-]+@[a-zA-Z0-9.-]+\.[a-zA-Z]{2,}""),""2.이메일 없음"")"),"2.이메일 없음")</f>
        <v>2.이메일 없음</v>
      </c>
      <c r="J249" s="10">
        <f>IFERROR((S249+T249+U249)/V249,"")</f>
        <v>3.3024567055980669E-2</v>
      </c>
      <c r="K249" s="9">
        <f>IFERROR(U249/V249,"")</f>
        <v>2.0136931131695531E-3</v>
      </c>
      <c r="L249" s="8">
        <f>IFERROR(MIN(Q249/1000*1.5, 150),"")</f>
        <v>4.5045000000000002</v>
      </c>
      <c r="M249" s="7">
        <f>IFERROR(V249/Q249,"")</f>
        <v>1.6536796536796536</v>
      </c>
      <c r="N249" s="6">
        <f>IFERROR((S249+U249)/Q249,"")</f>
        <v>5.0616050616050616E-2</v>
      </c>
      <c r="O249" s="6">
        <f>IFERROR(100/(L249+1),"")</f>
        <v>18.166954310109908</v>
      </c>
      <c r="P249" s="5" t="s">
        <v>168</v>
      </c>
      <c r="Q249" s="4">
        <v>3003</v>
      </c>
      <c r="R249" s="4">
        <v>28</v>
      </c>
      <c r="S249" s="4">
        <v>142</v>
      </c>
      <c r="T249" s="4">
        <v>12</v>
      </c>
      <c r="U249" s="4">
        <v>10</v>
      </c>
      <c r="V249" s="4">
        <v>4966</v>
      </c>
      <c r="W249" s="4">
        <v>13</v>
      </c>
      <c r="X249" s="1">
        <v>2000</v>
      </c>
      <c r="Y249" s="1" t="s">
        <v>167</v>
      </c>
      <c r="Z249" s="3">
        <v>45884.321851851855</v>
      </c>
      <c r="AA249" s="2" t="s">
        <v>166</v>
      </c>
      <c r="AB249" s="1" t="s">
        <v>165</v>
      </c>
    </row>
    <row r="250" spans="1:28">
      <c r="A250" s="4">
        <v>248</v>
      </c>
      <c r="B250" s="1" t="s">
        <v>164</v>
      </c>
      <c r="C250" s="1" t="s">
        <v>159</v>
      </c>
      <c r="D250" s="5" t="s">
        <v>163</v>
      </c>
      <c r="E250" s="1" t="s">
        <v>162</v>
      </c>
      <c r="F250" s="1" t="s">
        <v>161</v>
      </c>
      <c r="G250" s="10"/>
      <c r="H250" s="10" t="str">
        <f>IF(Q250&lt;100000,"1.마이크로-10만명 미만","2.메가-10만명 이상")</f>
        <v>2.메가-10만명 이상</v>
      </c>
      <c r="I250" s="10" t="str">
        <f ca="1">IFERROR(__xludf.DUMMYFUNCTION("iferror(REGEXEXTRACT(E250,""[a-zA-Z0-9._%+-]+@[a-zA-Z0-9.-]+\.[a-zA-Z]{2,}""),""2.이메일 없음"")"),"2.이메일 없음")</f>
        <v>2.이메일 없음</v>
      </c>
      <c r="J250" s="10">
        <f>IFERROR((S250+T250+U250)/V250,"")</f>
        <v>1.5403001667593107E-2</v>
      </c>
      <c r="K250" s="9">
        <f>IFERROR(U250/V250,"")</f>
        <v>2.6681489716509171E-4</v>
      </c>
      <c r="L250" s="8">
        <f>IFERROR(MIN(Q250/1000*1.5, 150),"")</f>
        <v>150</v>
      </c>
      <c r="M250" s="7">
        <f>IFERROR(V250/Q250,"")</f>
        <v>0.35980000000000001</v>
      </c>
      <c r="N250" s="6">
        <f>IFERROR((S250+U250)/Q250,"")</f>
        <v>5.1193333333333334E-3</v>
      </c>
      <c r="O250" s="6">
        <f>IFERROR(100/(L250+1),"")</f>
        <v>0.66225165562913912</v>
      </c>
      <c r="P250" s="5" t="s">
        <v>160</v>
      </c>
      <c r="Q250" s="4">
        <v>1500000</v>
      </c>
      <c r="R250" s="4">
        <v>2263</v>
      </c>
      <c r="S250" s="4">
        <v>7535</v>
      </c>
      <c r="T250" s="4">
        <v>634</v>
      </c>
      <c r="U250" s="4">
        <v>144</v>
      </c>
      <c r="V250" s="4">
        <v>539700</v>
      </c>
      <c r="W250" s="4">
        <v>27</v>
      </c>
      <c r="X250" s="1" t="s">
        <v>23</v>
      </c>
      <c r="Y250" s="1" t="s">
        <v>159</v>
      </c>
      <c r="Z250" s="3">
        <v>45687.551793981482</v>
      </c>
      <c r="AA250" s="2" t="s">
        <v>158</v>
      </c>
      <c r="AB250" s="1" t="s">
        <v>157</v>
      </c>
    </row>
    <row r="251" spans="1:28">
      <c r="A251" s="4">
        <v>249</v>
      </c>
      <c r="B251" s="1" t="s">
        <v>156</v>
      </c>
      <c r="C251" s="1" t="s">
        <v>155</v>
      </c>
      <c r="D251" s="5" t="s">
        <v>154</v>
      </c>
      <c r="E251" s="1" t="s">
        <v>153</v>
      </c>
      <c r="F251" s="1" t="s">
        <v>152</v>
      </c>
      <c r="G251" s="10"/>
      <c r="H251" s="10" t="str">
        <f>IF(Q251&lt;100000,"1.마이크로-10만명 미만","2.메가-10만명 이상")</f>
        <v>1.마이크로-10만명 미만</v>
      </c>
      <c r="I251" s="10" t="str">
        <f ca="1">IFERROR(__xludf.DUMMYFUNCTION("iferror(REGEXEXTRACT(E251,""[a-zA-Z0-9._%+-]+@[a-zA-Z0-9.-]+\.[a-zA-Z]{2,}""),""2.이메일 없음"")"),"eviecrawfordxcollab@gmail.com")</f>
        <v>eviecrawfordxcollab@gmail.com</v>
      </c>
      <c r="J251" s="10">
        <f>IFERROR((S251+T251+U251)/V251,"")</f>
        <v>9.2462311557788938E-3</v>
      </c>
      <c r="K251" s="9">
        <f>IFERROR(U251/V251,"")</f>
        <v>4.5226130653266332E-4</v>
      </c>
      <c r="L251" s="8">
        <f>IFERROR(MIN(Q251/1000*1.5, 150),"")</f>
        <v>42.150000000000006</v>
      </c>
      <c r="M251" s="7">
        <f>IFERROR(V251/Q251,"")</f>
        <v>0.70818505338078297</v>
      </c>
      <c r="N251" s="6">
        <f>IFERROR((S251+U251)/Q251,"")</f>
        <v>6.0498220640569393E-3</v>
      </c>
      <c r="O251" s="6">
        <f>IFERROR(100/(L251+1),"")</f>
        <v>2.3174971031286207</v>
      </c>
      <c r="P251" s="5" t="s">
        <v>151</v>
      </c>
      <c r="Q251" s="4">
        <v>28100</v>
      </c>
      <c r="R251" s="4">
        <v>265</v>
      </c>
      <c r="S251" s="4">
        <v>161</v>
      </c>
      <c r="T251" s="4">
        <v>14</v>
      </c>
      <c r="U251" s="4">
        <v>9</v>
      </c>
      <c r="V251" s="4">
        <v>19900</v>
      </c>
      <c r="W251" s="4">
        <v>14</v>
      </c>
      <c r="X251" s="1" t="s">
        <v>150</v>
      </c>
      <c r="Y251" s="1" t="s">
        <v>149</v>
      </c>
      <c r="Z251" s="3">
        <v>45686.518611111111</v>
      </c>
      <c r="AA251" s="2" t="s">
        <v>148</v>
      </c>
      <c r="AB251" s="1" t="s">
        <v>147</v>
      </c>
    </row>
    <row r="252" spans="1:28">
      <c r="A252" s="4">
        <v>250</v>
      </c>
      <c r="B252" s="1" t="s">
        <v>146</v>
      </c>
      <c r="C252" s="1" t="s">
        <v>141</v>
      </c>
      <c r="D252" s="5" t="s">
        <v>145</v>
      </c>
      <c r="E252" s="1" t="s">
        <v>144</v>
      </c>
      <c r="F252" s="1" t="s">
        <v>143</v>
      </c>
      <c r="G252" s="10"/>
      <c r="H252" s="10" t="str">
        <f>IF(Q252&lt;100000,"1.마이크로-10만명 미만","2.메가-10만명 이상")</f>
        <v>1.마이크로-10만명 미만</v>
      </c>
      <c r="I252" s="10" t="str">
        <f ca="1">IFERROR(__xludf.DUMMYFUNCTION("iferror(REGEXEXTRACT(E252,""[a-zA-Z0-9._%+-]+@[a-zA-Z0-9.-]+\.[a-zA-Z]{2,}""),""2.이메일 없음"")"),"tiktok@leahcedeno.com")</f>
        <v>tiktok@leahcedeno.com</v>
      </c>
      <c r="J252" s="10">
        <f>IFERROR((S252+T252+U252)/V252,"")</f>
        <v>2.8139240506329113E-2</v>
      </c>
      <c r="K252" s="9">
        <f>IFERROR(U252/V252,"")</f>
        <v>2.3291139240506328E-4</v>
      </c>
      <c r="L252" s="8">
        <f>IFERROR(MIN(Q252/1000*1.5, 150),"")</f>
        <v>14.064</v>
      </c>
      <c r="M252" s="7">
        <f>IFERROR(V252/Q252,"")</f>
        <v>42.128839590443683</v>
      </c>
      <c r="N252" s="6">
        <f>IFERROR((S252+U252)/Q252,"")</f>
        <v>1.151023890784983</v>
      </c>
      <c r="O252" s="6">
        <f>IFERROR(100/(L252+1),"")</f>
        <v>6.6383430695698351</v>
      </c>
      <c r="P252" s="5" t="s">
        <v>142</v>
      </c>
      <c r="Q252" s="4">
        <v>9376</v>
      </c>
      <c r="R252" s="4">
        <v>294</v>
      </c>
      <c r="S252" s="4">
        <v>10700</v>
      </c>
      <c r="T252" s="4">
        <v>323</v>
      </c>
      <c r="U252" s="4">
        <v>92</v>
      </c>
      <c r="V252" s="4">
        <v>395000</v>
      </c>
      <c r="W252" s="4">
        <v>71</v>
      </c>
      <c r="X252" s="1" t="s">
        <v>23</v>
      </c>
      <c r="Y252" s="1" t="s">
        <v>141</v>
      </c>
      <c r="Z252" s="3">
        <v>45681.447581018518</v>
      </c>
      <c r="AA252" s="2" t="s">
        <v>140</v>
      </c>
      <c r="AB252" s="1" t="s">
        <v>139</v>
      </c>
    </row>
    <row r="253" spans="1:28">
      <c r="A253" s="4">
        <v>251</v>
      </c>
      <c r="B253" s="1" t="s">
        <v>138</v>
      </c>
      <c r="C253" s="1" t="s">
        <v>137</v>
      </c>
      <c r="D253" s="5" t="s">
        <v>136</v>
      </c>
      <c r="E253" s="1" t="s">
        <v>135</v>
      </c>
      <c r="F253" s="1" t="s">
        <v>134</v>
      </c>
      <c r="G253" s="10"/>
      <c r="H253" s="10" t="str">
        <f>IF(Q253&lt;100000,"1.마이크로-10만명 미만","2.메가-10만명 이상")</f>
        <v>1.마이크로-10만명 미만</v>
      </c>
      <c r="I253" s="10" t="str">
        <f ca="1">IFERROR(__xludf.DUMMYFUNCTION("iferror(REGEXEXTRACT(E253,""[a-zA-Z0-9._%+-]+@[a-zA-Z0-9.-]+\.[a-zA-Z]{2,}""),""2.이메일 없음"")"),"2.이메일 없음")</f>
        <v>2.이메일 없음</v>
      </c>
      <c r="J253" s="10">
        <f>IFERROR((S253+T253+U253)/V253,"")</f>
        <v>5.1945080091533181E-2</v>
      </c>
      <c r="K253" s="9">
        <f>IFERROR(U253/V253,"")</f>
        <v>2.1739130434782609E-3</v>
      </c>
      <c r="L253" s="8">
        <f>IFERROR(MIN(Q253/1000*1.5, 150),"")</f>
        <v>1.8149999999999999</v>
      </c>
      <c r="M253" s="7">
        <f>IFERROR(V253/Q253,"")</f>
        <v>7.223140495867769</v>
      </c>
      <c r="N253" s="6">
        <f>IFERROR((S253+U253)/Q253,"")</f>
        <v>0.35950413223140498</v>
      </c>
      <c r="O253" s="6">
        <f>IFERROR(100/(L253+1),"")</f>
        <v>35.523978685612789</v>
      </c>
      <c r="P253" s="5" t="s">
        <v>133</v>
      </c>
      <c r="Q253" s="4">
        <v>1210</v>
      </c>
      <c r="R253" s="4">
        <v>342</v>
      </c>
      <c r="S253" s="4">
        <v>416</v>
      </c>
      <c r="T253" s="4">
        <v>19</v>
      </c>
      <c r="U253" s="4">
        <v>19</v>
      </c>
      <c r="V253" s="4">
        <v>8740</v>
      </c>
      <c r="W253" s="4">
        <v>6</v>
      </c>
      <c r="X253" s="1" t="s">
        <v>132</v>
      </c>
      <c r="Y253" s="1" t="s">
        <v>131</v>
      </c>
      <c r="Z253" s="3">
        <v>45890.346562500003</v>
      </c>
      <c r="AA253" s="2" t="s">
        <v>130</v>
      </c>
      <c r="AB253" s="1" t="s">
        <v>129</v>
      </c>
    </row>
    <row r="254" spans="1:28">
      <c r="A254" s="4">
        <v>252</v>
      </c>
      <c r="B254" s="1" t="s">
        <v>128</v>
      </c>
      <c r="C254" s="1" t="s">
        <v>127</v>
      </c>
      <c r="D254" s="5" t="s">
        <v>126</v>
      </c>
      <c r="E254" s="1" t="s">
        <v>125</v>
      </c>
      <c r="F254" s="1" t="s">
        <v>124</v>
      </c>
      <c r="G254" s="10"/>
      <c r="H254" s="10" t="str">
        <f>IF(Q254&lt;100000,"1.마이크로-10만명 미만","2.메가-10만명 이상")</f>
        <v>1.마이크로-10만명 미만</v>
      </c>
      <c r="I254" s="10" t="str">
        <f ca="1">IFERROR(__xludf.DUMMYFUNCTION("iferror(REGEXEXTRACT(E254,""[a-zA-Z0-9._%+-]+@[a-zA-Z0-9.-]+\.[a-zA-Z]{2,}""),""2.이메일 없음"")"),"chloelenahan1@outlook.com")</f>
        <v>chloelenahan1@outlook.com</v>
      </c>
      <c r="J254" s="10">
        <f>IFERROR((S254+T254+U254)/V254,"")</f>
        <v>1.1854636591478696E-2</v>
      </c>
      <c r="K254" s="9">
        <f>IFERROR(U254/V254,"")</f>
        <v>1.7543859649122806E-4</v>
      </c>
      <c r="L254" s="8">
        <f>IFERROR(MIN(Q254/1000*1.5, 150),"")</f>
        <v>1.155</v>
      </c>
      <c r="M254" s="7">
        <f>IFERROR(V254/Q254,"")</f>
        <v>51.81818181818182</v>
      </c>
      <c r="N254" s="6">
        <f>IFERROR((S254+U254)/Q254,"")</f>
        <v>0.58701298701298699</v>
      </c>
      <c r="O254" s="6">
        <f>IFERROR(100/(L254+1),"")</f>
        <v>46.403712296983755</v>
      </c>
      <c r="P254" s="5" t="s">
        <v>123</v>
      </c>
      <c r="Q254" s="4">
        <v>770</v>
      </c>
      <c r="R254" s="4">
        <v>186</v>
      </c>
      <c r="S254" s="4">
        <v>445</v>
      </c>
      <c r="T254" s="4">
        <v>21</v>
      </c>
      <c r="U254" s="4">
        <v>7</v>
      </c>
      <c r="V254" s="4">
        <v>39900</v>
      </c>
      <c r="W254" s="4">
        <v>10</v>
      </c>
      <c r="X254" s="1" t="s">
        <v>23</v>
      </c>
      <c r="Y254" s="1" t="s">
        <v>122</v>
      </c>
      <c r="Z254" s="3">
        <v>45884.286365740743</v>
      </c>
      <c r="AA254" s="2" t="s">
        <v>121</v>
      </c>
      <c r="AB254" s="1" t="s">
        <v>120</v>
      </c>
    </row>
    <row r="255" spans="1:28">
      <c r="A255" s="4">
        <v>253</v>
      </c>
      <c r="B255" s="1" t="s">
        <v>119</v>
      </c>
      <c r="C255" s="1" t="s">
        <v>118</v>
      </c>
      <c r="D255" s="5" t="s">
        <v>117</v>
      </c>
      <c r="E255" s="1" t="s">
        <v>116</v>
      </c>
      <c r="F255" s="1" t="s">
        <v>115</v>
      </c>
      <c r="G255" s="10"/>
      <c r="H255" s="10" t="str">
        <f>IF(Q255&lt;100000,"1.마이크로-10만명 미만","2.메가-10만명 이상")</f>
        <v>1.마이크로-10만명 미만</v>
      </c>
      <c r="I255" s="10" t="str">
        <f ca="1">IFERROR(__xludf.DUMMYFUNCTION("iferror(REGEXEXTRACT(E255,""[a-zA-Z0-9._%+-]+@[a-zA-Z0-9.-]+\.[a-zA-Z]{2,}""),""2.이메일 없음"")"),"2.이메일 없음")</f>
        <v>2.이메일 없음</v>
      </c>
      <c r="J255" s="10">
        <f>IFERROR((S255+T255+U255)/V255,"")</f>
        <v>6.6395759717314484E-2</v>
      </c>
      <c r="K255" s="9">
        <f>IFERROR(U255/V255,"")</f>
        <v>5.6537102473498235E-4</v>
      </c>
      <c r="L255" s="8">
        <f>IFERROR(MIN(Q255/1000*1.5, 150),"")</f>
        <v>1.0785</v>
      </c>
      <c r="M255" s="7">
        <f>IFERROR(V255/Q255,"")</f>
        <v>39.360222531293466</v>
      </c>
      <c r="N255" s="6">
        <f>IFERROR((S255+U255)/Q255,"")</f>
        <v>2.4798331015299024</v>
      </c>
      <c r="O255" s="6">
        <f>IFERROR(100/(L255+1),"")</f>
        <v>48.111618955977868</v>
      </c>
      <c r="P255" s="5" t="s">
        <v>114</v>
      </c>
      <c r="Q255" s="4">
        <v>719</v>
      </c>
      <c r="R255" s="4">
        <v>30</v>
      </c>
      <c r="S255" s="4">
        <v>1767</v>
      </c>
      <c r="T255" s="4">
        <v>96</v>
      </c>
      <c r="U255" s="4">
        <v>16</v>
      </c>
      <c r="V255" s="4">
        <v>28300</v>
      </c>
      <c r="W255" s="4">
        <v>11</v>
      </c>
      <c r="X255" s="1" t="s">
        <v>113</v>
      </c>
      <c r="Y255" s="1" t="s">
        <v>112</v>
      </c>
      <c r="Z255" s="3">
        <v>45863.18041666667</v>
      </c>
      <c r="AA255" s="2" t="s">
        <v>111</v>
      </c>
      <c r="AB255" s="1" t="s">
        <v>110</v>
      </c>
    </row>
    <row r="256" spans="1:28">
      <c r="A256" s="4">
        <v>254</v>
      </c>
      <c r="B256" s="1" t="s">
        <v>109</v>
      </c>
      <c r="C256" s="1" t="s">
        <v>108</v>
      </c>
      <c r="D256" s="5" t="s">
        <v>107</v>
      </c>
      <c r="E256" s="1" t="s">
        <v>106</v>
      </c>
      <c r="F256" s="1" t="s">
        <v>105</v>
      </c>
      <c r="G256" s="10"/>
      <c r="H256" s="10" t="str">
        <f>IF(Q256&lt;100000,"1.마이크로-10만명 미만","2.메가-10만명 이상")</f>
        <v>1.마이크로-10만명 미만</v>
      </c>
      <c r="I256" s="10" t="str">
        <f ca="1">IFERROR(__xludf.DUMMYFUNCTION("iferror(REGEXEXTRACT(E256,""[a-zA-Z0-9._%+-]+@[a-zA-Z0-9.-]+\.[a-zA-Z]{2,}""),""2.이메일 없음"")"),"chasieslife@gmail.com")</f>
        <v>chasieslife@gmail.com</v>
      </c>
      <c r="J256" s="10">
        <f>IFERROR((S256+T256+U256)/V256,"")</f>
        <v>1.3738317757009346E-2</v>
      </c>
      <c r="K256" s="9">
        <f>IFERROR(U256/V256,"")</f>
        <v>2.8037383177570094E-4</v>
      </c>
      <c r="L256" s="8">
        <f>IFERROR(MIN(Q256/1000*1.5, 150),"")</f>
        <v>9.9480000000000004</v>
      </c>
      <c r="M256" s="7">
        <f>IFERROR(V256/Q256,"")</f>
        <v>1.6133896260554885</v>
      </c>
      <c r="N256" s="6">
        <f>IFERROR((S256+U256)/Q256,"")</f>
        <v>2.201447527141134E-2</v>
      </c>
      <c r="O256" s="6">
        <f>IFERROR(100/(L256+1),"")</f>
        <v>9.1340884179758852</v>
      </c>
      <c r="P256" s="5" t="s">
        <v>104</v>
      </c>
      <c r="Q256" s="4">
        <v>6632</v>
      </c>
      <c r="R256" s="4">
        <v>380</v>
      </c>
      <c r="S256" s="4">
        <v>143</v>
      </c>
      <c r="T256" s="4">
        <v>1</v>
      </c>
      <c r="U256" s="4">
        <v>3</v>
      </c>
      <c r="V256" s="4">
        <v>10700</v>
      </c>
      <c r="W256" s="4">
        <v>16</v>
      </c>
      <c r="X256" s="1" t="s">
        <v>23</v>
      </c>
      <c r="Y256" s="1" t="s">
        <v>103</v>
      </c>
      <c r="Z256" s="3">
        <v>45084.483124999999</v>
      </c>
      <c r="AA256" s="2" t="s">
        <v>102</v>
      </c>
      <c r="AB256" s="1" t="s">
        <v>101</v>
      </c>
    </row>
    <row r="257" spans="1:28">
      <c r="A257" s="4">
        <v>255</v>
      </c>
      <c r="B257" s="1" t="s">
        <v>100</v>
      </c>
      <c r="C257" s="1" t="s">
        <v>99</v>
      </c>
      <c r="D257" s="5" t="s">
        <v>98</v>
      </c>
      <c r="E257" s="1" t="s">
        <v>97</v>
      </c>
      <c r="F257" s="1" t="s">
        <v>96</v>
      </c>
      <c r="G257" s="10"/>
      <c r="H257" s="10" t="str">
        <f>IF(Q257&lt;100000,"1.마이크로-10만명 미만","2.메가-10만명 이상")</f>
        <v>1.마이크로-10만명 미만</v>
      </c>
      <c r="I257" s="10" t="str">
        <f ca="1">IFERROR(__xludf.DUMMYFUNCTION("iferror(REGEXEXTRACT(E257,""[a-zA-Z0-9._%+-]+@[a-zA-Z0-9.-]+\.[a-zA-Z]{2,}""),""2.이메일 없음"")"),"2.이메일 없음")</f>
        <v>2.이메일 없음</v>
      </c>
      <c r="J257" s="10">
        <f>IFERROR((S257+T257+U257)/V257,"")</f>
        <v>2.2440944881889763E-2</v>
      </c>
      <c r="K257" s="9">
        <f>IFERROR(U257/V257,"")</f>
        <v>1.1811023622047244E-3</v>
      </c>
      <c r="L257" s="8">
        <f>IFERROR(MIN(Q257/1000*1.5, 150),"")</f>
        <v>0.23099999999999998</v>
      </c>
      <c r="M257" s="7">
        <f>IFERROR(V257/Q257,"")</f>
        <v>32.987012987012989</v>
      </c>
      <c r="N257" s="6">
        <f>IFERROR((S257+U257)/Q257,"")</f>
        <v>0.70129870129870131</v>
      </c>
      <c r="O257" s="6">
        <f>IFERROR(100/(L257+1),"")</f>
        <v>81.234768480909835</v>
      </c>
      <c r="P257" s="5" t="s">
        <v>95</v>
      </c>
      <c r="Q257" s="4">
        <v>154</v>
      </c>
      <c r="R257" s="4">
        <v>56</v>
      </c>
      <c r="S257" s="4">
        <v>102</v>
      </c>
      <c r="T257" s="4">
        <v>6</v>
      </c>
      <c r="U257" s="4">
        <v>6</v>
      </c>
      <c r="V257" s="4">
        <v>5080</v>
      </c>
      <c r="W257" s="4">
        <v>11</v>
      </c>
      <c r="X257" s="1" t="s">
        <v>94</v>
      </c>
      <c r="Y257" s="1" t="s">
        <v>93</v>
      </c>
      <c r="Z257" s="3">
        <v>45618.134120370371</v>
      </c>
      <c r="AA257" s="2" t="s">
        <v>92</v>
      </c>
      <c r="AB257" s="1" t="s">
        <v>91</v>
      </c>
    </row>
    <row r="258" spans="1:28">
      <c r="A258" s="4">
        <v>256</v>
      </c>
      <c r="B258" s="1" t="s">
        <v>90</v>
      </c>
      <c r="C258" s="1" t="s">
        <v>89</v>
      </c>
      <c r="D258" s="5" t="s">
        <v>88</v>
      </c>
      <c r="E258" s="2" t="s">
        <v>87</v>
      </c>
      <c r="F258" s="1" t="s">
        <v>86</v>
      </c>
      <c r="G258" s="10"/>
      <c r="H258" s="10" t="str">
        <f>IF(Q258&lt;100000,"1.마이크로-10만명 미만","2.메가-10만명 이상")</f>
        <v>1.마이크로-10만명 미만</v>
      </c>
      <c r="I258" s="10" t="str">
        <f ca="1">IFERROR(__xludf.DUMMYFUNCTION("iferror(REGEXEXTRACT(E258,""[a-zA-Z0-9._%+-]+@[a-zA-Z0-9.-]+\.[a-zA-Z]{2,}""),""2.이메일 없음"")"),"2.이메일 없음")</f>
        <v>2.이메일 없음</v>
      </c>
      <c r="J258" s="10">
        <f>IFERROR((S258+T258+U258)/V258,"")</f>
        <v>0.16879729729729731</v>
      </c>
      <c r="K258" s="9">
        <f>IFERROR(U258/V258,"")</f>
        <v>5.9009009009009005E-4</v>
      </c>
      <c r="L258" s="8">
        <f>IFERROR(MIN(Q258/1000*1.5, 150),"")</f>
        <v>0.33300000000000002</v>
      </c>
      <c r="M258" s="7">
        <f>IFERROR(V258/Q258,"")</f>
        <v>1000</v>
      </c>
      <c r="N258" s="6">
        <f>IFERROR((S258+U258)/Q258,"")</f>
        <v>148.7882882882883</v>
      </c>
      <c r="O258" s="6">
        <f>IFERROR(100/(L258+1),"")</f>
        <v>75.018754688672175</v>
      </c>
      <c r="P258" s="5" t="s">
        <v>85</v>
      </c>
      <c r="Q258" s="4">
        <v>222</v>
      </c>
      <c r="R258" s="4">
        <v>39</v>
      </c>
      <c r="S258" s="4">
        <v>32900</v>
      </c>
      <c r="T258" s="4">
        <v>4442</v>
      </c>
      <c r="U258" s="4">
        <v>131</v>
      </c>
      <c r="V258" s="4">
        <v>222000</v>
      </c>
      <c r="W258" s="4">
        <v>9</v>
      </c>
      <c r="X258" s="1" t="s">
        <v>84</v>
      </c>
      <c r="Y258" s="1" t="s">
        <v>83</v>
      </c>
      <c r="Z258" s="3">
        <v>45743.462997685187</v>
      </c>
      <c r="AA258" s="2" t="s">
        <v>82</v>
      </c>
      <c r="AB258" s="1" t="s">
        <v>81</v>
      </c>
    </row>
    <row r="259" spans="1:28">
      <c r="A259" s="4">
        <v>257</v>
      </c>
      <c r="B259" s="1" t="s">
        <v>80</v>
      </c>
      <c r="C259" s="1" t="s">
        <v>79</v>
      </c>
      <c r="D259" s="5" t="s">
        <v>78</v>
      </c>
      <c r="E259" s="1" t="s">
        <v>77</v>
      </c>
      <c r="F259" s="1" t="s">
        <v>76</v>
      </c>
      <c r="G259" s="10"/>
      <c r="H259" s="10" t="str">
        <f>IF(Q259&lt;100000,"1.마이크로-10만명 미만","2.메가-10만명 이상")</f>
        <v>1.마이크로-10만명 미만</v>
      </c>
      <c r="I259" s="10" t="str">
        <f ca="1">IFERROR(__xludf.DUMMYFUNCTION("iferror(REGEXEXTRACT(E259,""[a-zA-Z0-9._%+-]+@[a-zA-Z0-9.-]+\.[a-zA-Z]{2,}""),""2.이메일 없음"")"),"The.Rickaya@gmail.com")</f>
        <v>The.Rickaya@gmail.com</v>
      </c>
      <c r="J259" s="10">
        <f>IFERROR((S259+T259+U259)/V259,"")</f>
        <v>2.1142857142857144E-2</v>
      </c>
      <c r="K259" s="9">
        <f>IFERROR(U259/V259,"")</f>
        <v>1E-3</v>
      </c>
      <c r="L259" s="8">
        <f>IFERROR(MIN(Q259/1000*1.5, 150),"")</f>
        <v>0.58200000000000007</v>
      </c>
      <c r="M259" s="7">
        <f>IFERROR(V259/Q259,"")</f>
        <v>36.082474226804123</v>
      </c>
      <c r="N259" s="6">
        <f>IFERROR((S259+U259)/Q259,"")</f>
        <v>0.70618556701030932</v>
      </c>
      <c r="O259" s="6">
        <f>IFERROR(100/(L259+1),"")</f>
        <v>63.211125158027812</v>
      </c>
      <c r="P259" s="5" t="s">
        <v>75</v>
      </c>
      <c r="Q259" s="4">
        <v>388</v>
      </c>
      <c r="R259" s="4">
        <v>58</v>
      </c>
      <c r="S259" s="4">
        <v>260</v>
      </c>
      <c r="T259" s="4">
        <v>22</v>
      </c>
      <c r="U259" s="4">
        <v>14</v>
      </c>
      <c r="V259" s="4">
        <v>14000</v>
      </c>
      <c r="W259" s="4">
        <v>10</v>
      </c>
      <c r="X259" s="1" t="s">
        <v>23</v>
      </c>
      <c r="Y259" s="1" t="s">
        <v>74</v>
      </c>
      <c r="Z259" s="3">
        <v>45828.412789351853</v>
      </c>
      <c r="AA259" s="2" t="s">
        <v>73</v>
      </c>
      <c r="AB259" s="1" t="s">
        <v>72</v>
      </c>
    </row>
    <row r="260" spans="1:28">
      <c r="A260" s="4">
        <v>258</v>
      </c>
      <c r="B260" s="1" t="s">
        <v>71</v>
      </c>
      <c r="C260" s="1" t="s">
        <v>70</v>
      </c>
      <c r="D260" s="5" t="s">
        <v>69</v>
      </c>
      <c r="E260" s="1" t="s">
        <v>68</v>
      </c>
      <c r="F260" s="1" t="s">
        <v>67</v>
      </c>
      <c r="G260" s="10"/>
      <c r="H260" s="10" t="str">
        <f>IF(Q260&lt;100000,"1.마이크로-10만명 미만","2.메가-10만명 이상")</f>
        <v>1.마이크로-10만명 미만</v>
      </c>
      <c r="I260" s="10" t="str">
        <f ca="1">IFERROR(__xludf.DUMMYFUNCTION("iferror(REGEXEXTRACT(E260,""[a-zA-Z0-9._%+-]+@[a-zA-Z0-9.-]+\.[a-zA-Z]{2,}""),""2.이메일 없음"")"),"2.이메일 없음")</f>
        <v>2.이메일 없음</v>
      </c>
      <c r="J260" s="10">
        <f>IFERROR((S260+T260+U260)/V260,"")</f>
        <v>5.8912386706948643E-2</v>
      </c>
      <c r="K260" s="9">
        <f>IFERROR(U260/V260,"")</f>
        <v>7.5528700906344415E-3</v>
      </c>
      <c r="L260" s="8">
        <f>IFERROR(MIN(Q260/1000*1.5, 150),"")</f>
        <v>24.150000000000002</v>
      </c>
      <c r="M260" s="7">
        <f>IFERROR(V260/Q260,"")</f>
        <v>4.1118012422360246E-2</v>
      </c>
      <c r="N260" s="6">
        <f>IFERROR((S260+U260)/Q260,"")</f>
        <v>2.4223602484472048E-3</v>
      </c>
      <c r="O260" s="6">
        <f>IFERROR(100/(L260+1),"")</f>
        <v>3.9761431411530812</v>
      </c>
      <c r="P260" s="5" t="s">
        <v>66</v>
      </c>
      <c r="Q260" s="4">
        <v>16100</v>
      </c>
      <c r="R260" s="4">
        <v>1680</v>
      </c>
      <c r="S260" s="4">
        <v>34</v>
      </c>
      <c r="T260" s="4">
        <v>0</v>
      </c>
      <c r="U260" s="4">
        <v>5</v>
      </c>
      <c r="V260" s="4">
        <v>662</v>
      </c>
      <c r="W260" s="4">
        <v>15</v>
      </c>
      <c r="X260" s="1" t="s">
        <v>65</v>
      </c>
      <c r="Y260" s="1" t="s">
        <v>64</v>
      </c>
      <c r="Z260" s="3">
        <v>45826.556122685186</v>
      </c>
      <c r="AA260" s="2" t="s">
        <v>63</v>
      </c>
      <c r="AB260" s="1" t="s">
        <v>62</v>
      </c>
    </row>
    <row r="261" spans="1:28">
      <c r="A261" s="4">
        <v>259</v>
      </c>
      <c r="B261" s="1" t="s">
        <v>61</v>
      </c>
      <c r="C261" s="1" t="s">
        <v>60</v>
      </c>
      <c r="D261" s="5" t="s">
        <v>59</v>
      </c>
      <c r="E261" s="1" t="s">
        <v>58</v>
      </c>
      <c r="F261" s="1" t="s">
        <v>57</v>
      </c>
      <c r="G261" s="10"/>
      <c r="H261" s="10" t="str">
        <f>IF(Q261&lt;100000,"1.마이크로-10만명 미만","2.메가-10만명 이상")</f>
        <v>2.메가-10만명 이상</v>
      </c>
      <c r="I261" s="10" t="str">
        <f ca="1">IFERROR(__xludf.DUMMYFUNCTION("iferror(REGEXEXTRACT(E261,""[a-zA-Z0-9._%+-]+@[a-zA-Z0-9.-]+\.[a-zA-Z]{2,}""),""2.이메일 없음"")"),"sadie@moxymgt.com")</f>
        <v>sadie@moxymgt.com</v>
      </c>
      <c r="J261" s="10">
        <f>IFERROR((S261+T261+U261)/V261,"")</f>
        <v>7.8791829268292687E-2</v>
      </c>
      <c r="K261" s="9">
        <f>IFERROR(U261/V261,"")</f>
        <v>2.0646341463414634E-4</v>
      </c>
      <c r="L261" s="8">
        <f>IFERROR(MIN(Q261/1000*1.5, 150),"")</f>
        <v>150</v>
      </c>
      <c r="M261" s="7">
        <f>IFERROR(V261/Q261,"")</f>
        <v>2.4848484848484849</v>
      </c>
      <c r="N261" s="6">
        <f>IFERROR((S261+U261)/Q261,"")</f>
        <v>0.19093727272727273</v>
      </c>
      <c r="O261" s="6">
        <f>IFERROR(100/(L261+1),"")</f>
        <v>0.66225165562913912</v>
      </c>
      <c r="P261" s="5" t="s">
        <v>56</v>
      </c>
      <c r="Q261" s="4">
        <v>3300000</v>
      </c>
      <c r="R261" s="4">
        <v>1236</v>
      </c>
      <c r="S261" s="4">
        <v>628400</v>
      </c>
      <c r="T261" s="4">
        <v>16000</v>
      </c>
      <c r="U261" s="4">
        <v>1693</v>
      </c>
      <c r="V261" s="4">
        <v>8200000</v>
      </c>
      <c r="W261" s="4">
        <v>14</v>
      </c>
      <c r="X261" s="1" t="s">
        <v>23</v>
      </c>
      <c r="Y261" s="1" t="s">
        <v>55</v>
      </c>
      <c r="Z261" s="3">
        <v>45352.484143518515</v>
      </c>
      <c r="AA261" s="2" t="s">
        <v>54</v>
      </c>
      <c r="AB261" s="1">
        <v>17698532</v>
      </c>
    </row>
    <row r="262" spans="1:28">
      <c r="A262" s="4">
        <v>260</v>
      </c>
      <c r="B262" s="1" t="s">
        <v>53</v>
      </c>
      <c r="C262" s="1" t="s">
        <v>52</v>
      </c>
      <c r="D262" s="5" t="s">
        <v>51</v>
      </c>
      <c r="E262" s="3"/>
      <c r="F262" s="1" t="s">
        <v>50</v>
      </c>
      <c r="G262" s="10"/>
      <c r="H262" s="10" t="str">
        <f>IF(Q262&lt;100000,"1.마이크로-10만명 미만","2.메가-10만명 이상")</f>
        <v>1.마이크로-10만명 미만</v>
      </c>
      <c r="I262" s="10" t="str">
        <f ca="1">IFERROR(__xludf.DUMMYFUNCTION("iferror(REGEXEXTRACT(E262,""[a-zA-Z0-9._%+-]+@[a-zA-Z0-9.-]+\.[a-zA-Z]{2,}""),""2.이메일 없음"")"),"2.이메일 없음")</f>
        <v>2.이메일 없음</v>
      </c>
      <c r="J262" s="10">
        <f>IFERROR((S262+T262+U262)/V262,"")</f>
        <v>6.4640000000000003E-2</v>
      </c>
      <c r="K262" s="9">
        <f>IFERROR(U262/V262,"")</f>
        <v>2.6454545454545453E-4</v>
      </c>
      <c r="L262" s="8">
        <f>IFERROR(MIN(Q262/1000*1.5, 150),"")</f>
        <v>64.349999999999994</v>
      </c>
      <c r="M262" s="7">
        <f>IFERROR(V262/Q262,"")</f>
        <v>25.641025641025642</v>
      </c>
      <c r="N262" s="6">
        <f>IFERROR((S262+U262)/Q262,"")</f>
        <v>1.4916317016317016</v>
      </c>
      <c r="O262" s="6">
        <f>IFERROR(100/(L262+1),"")</f>
        <v>1.5302218821729152</v>
      </c>
      <c r="P262" s="5" t="s">
        <v>49</v>
      </c>
      <c r="Q262" s="4">
        <v>42900</v>
      </c>
      <c r="R262" s="4">
        <v>76</v>
      </c>
      <c r="S262" s="4">
        <v>63700</v>
      </c>
      <c r="T262" s="4">
        <v>7113</v>
      </c>
      <c r="U262" s="4">
        <v>291</v>
      </c>
      <c r="V262" s="4">
        <v>1100000</v>
      </c>
      <c r="W262" s="4">
        <v>15</v>
      </c>
      <c r="X262" s="1" t="s">
        <v>48</v>
      </c>
      <c r="Y262" s="1" t="s">
        <v>47</v>
      </c>
      <c r="Z262" s="3">
        <v>45714.312858796293</v>
      </c>
      <c r="AA262" s="2" t="s">
        <v>46</v>
      </c>
      <c r="AB262" s="1" t="s">
        <v>45</v>
      </c>
    </row>
    <row r="263" spans="1:28">
      <c r="A263" s="4">
        <v>261</v>
      </c>
      <c r="B263" s="1" t="s">
        <v>44</v>
      </c>
      <c r="C263" s="1" t="s">
        <v>39</v>
      </c>
      <c r="D263" s="5" t="s">
        <v>43</v>
      </c>
      <c r="E263" s="1" t="s">
        <v>42</v>
      </c>
      <c r="F263" s="1" t="s">
        <v>41</v>
      </c>
      <c r="G263" s="10"/>
      <c r="H263" s="10" t="str">
        <f>IF(Q263&lt;100000,"1.마이크로-10만명 미만","2.메가-10만명 이상")</f>
        <v>1.마이크로-10만명 미만</v>
      </c>
      <c r="I263" s="10" t="str">
        <f ca="1">IFERROR(__xludf.DUMMYFUNCTION("iferror(REGEXEXTRACT(E263,""[a-zA-Z0-9._%+-]+@[a-zA-Z0-9.-]+\.[a-zA-Z]{2,}""),""2.이메일 없음"")"),"2.이메일 없음")</f>
        <v>2.이메일 없음</v>
      </c>
      <c r="J263" s="10">
        <f>IFERROR((S263+T263+U263)/V263,"")</f>
        <v>4.8439897698209722E-2</v>
      </c>
      <c r="K263" s="9">
        <f>IFERROR(U263/V263,"")</f>
        <v>2.3017902813299233E-4</v>
      </c>
      <c r="L263" s="8">
        <f>IFERROR(MIN(Q263/1000*1.5, 150),"")</f>
        <v>7.8854999999999995</v>
      </c>
      <c r="M263" s="7">
        <f>IFERROR(V263/Q263,"")</f>
        <v>7.4377021114704203</v>
      </c>
      <c r="N263" s="6">
        <f>IFERROR((S263+U263)/Q263,"")</f>
        <v>0.35685752330226367</v>
      </c>
      <c r="O263" s="6">
        <f>IFERROR(100/(L263+1),"")</f>
        <v>11.254290698328738</v>
      </c>
      <c r="P263" s="5" t="s">
        <v>40</v>
      </c>
      <c r="Q263" s="4">
        <v>5257</v>
      </c>
      <c r="R263" s="4">
        <v>44</v>
      </c>
      <c r="S263" s="4">
        <v>1867</v>
      </c>
      <c r="T263" s="4">
        <v>18</v>
      </c>
      <c r="U263" s="4">
        <v>9</v>
      </c>
      <c r="V263" s="4">
        <v>39100</v>
      </c>
      <c r="W263" s="4">
        <v>18</v>
      </c>
      <c r="X263" s="1" t="s">
        <v>23</v>
      </c>
      <c r="Y263" s="1" t="s">
        <v>39</v>
      </c>
      <c r="Z263" s="3">
        <v>45886.997754629629</v>
      </c>
      <c r="AA263" s="2" t="s">
        <v>38</v>
      </c>
      <c r="AB263" s="1" t="s">
        <v>37</v>
      </c>
    </row>
    <row r="264" spans="1:28">
      <c r="A264" s="4">
        <v>262</v>
      </c>
      <c r="B264" s="1" t="s">
        <v>36</v>
      </c>
      <c r="C264" s="1" t="s">
        <v>31</v>
      </c>
      <c r="D264" s="5" t="s">
        <v>35</v>
      </c>
      <c r="E264" s="1" t="s">
        <v>34</v>
      </c>
      <c r="F264" s="1" t="s">
        <v>33</v>
      </c>
      <c r="G264" s="10"/>
      <c r="H264" s="10" t="str">
        <f>IF(Q264&lt;100000,"1.마이크로-10만명 미만","2.메가-10만명 이상")</f>
        <v>2.메가-10만명 이상</v>
      </c>
      <c r="I264" s="10" t="str">
        <f ca="1">IFERROR(__xludf.DUMMYFUNCTION("iferror(REGEXEXTRACT(E264,""[a-zA-Z0-9._%+-]+@[a-zA-Z0-9.-]+\.[a-zA-Z]{2,}""),""2.이메일 없음"")"),"katy@migosmedia.com")</f>
        <v>katy@migosmedia.com</v>
      </c>
      <c r="J264" s="10">
        <f>IFERROR((S264+T264+U264)/V264,"")</f>
        <v>6.3215859030836999E-2</v>
      </c>
      <c r="K264" s="9">
        <f>IFERROR(U264/V264,"")</f>
        <v>0</v>
      </c>
      <c r="L264" s="8">
        <f>IFERROR(MIN(Q264/1000*1.5, 150),"")</f>
        <v>150</v>
      </c>
      <c r="M264" s="7">
        <f>IFERROR(V264/Q264,"")</f>
        <v>0.2218241042345277</v>
      </c>
      <c r="N264" s="6">
        <f>IFERROR((S264+U264)/Q264,"")</f>
        <v>1.3198697068403908E-2</v>
      </c>
      <c r="O264" s="6">
        <f>IFERROR(100/(L264+1),"")</f>
        <v>0.66225165562913912</v>
      </c>
      <c r="P264" s="5" t="s">
        <v>32</v>
      </c>
      <c r="Q264" s="4">
        <v>307000</v>
      </c>
      <c r="R264" s="4">
        <v>1250</v>
      </c>
      <c r="S264" s="4">
        <v>4052</v>
      </c>
      <c r="T264" s="4">
        <v>253</v>
      </c>
      <c r="U264" s="4">
        <v>0</v>
      </c>
      <c r="V264" s="4">
        <v>68100</v>
      </c>
      <c r="W264" s="4">
        <v>7</v>
      </c>
      <c r="X264" s="1" t="s">
        <v>23</v>
      </c>
      <c r="Y264" s="1" t="s">
        <v>31</v>
      </c>
      <c r="Z264" s="3">
        <v>45858.180347222224</v>
      </c>
      <c r="AA264" s="2" t="s">
        <v>30</v>
      </c>
      <c r="AB264" s="1" t="s">
        <v>29</v>
      </c>
    </row>
    <row r="265" spans="1:28">
      <c r="A265" s="13">
        <v>263</v>
      </c>
      <c r="B265" s="12" t="s">
        <v>28</v>
      </c>
      <c r="C265" s="1" t="s">
        <v>22</v>
      </c>
      <c r="D265" s="5" t="s">
        <v>27</v>
      </c>
      <c r="E265" s="1" t="s">
        <v>26</v>
      </c>
      <c r="F265" s="12" t="s">
        <v>25</v>
      </c>
      <c r="G265" s="10"/>
      <c r="H265" s="10" t="str">
        <f>IF(Q265&lt;100000,"1.마이크로-10만명 미만","2.메가-10만명 이상")</f>
        <v>1.마이크로-10만명 미만</v>
      </c>
      <c r="I265" s="10" t="str">
        <f ca="1">IFERROR(__xludf.DUMMYFUNCTION("iferror(REGEXEXTRACT(E265,""[a-zA-Z0-9._%+-]+@[a-zA-Z0-9.-]+\.[a-zA-Z]{2,}""),""2.이메일 없음"")"),"2.이메일 없음")</f>
        <v>2.이메일 없음</v>
      </c>
      <c r="J265" s="10">
        <f>IFERROR((S265+T265+U265)/V265,"")</f>
        <v>9.1538842157347852E-3</v>
      </c>
      <c r="K265" s="9">
        <f>IFERROR(U265/V265,"")</f>
        <v>3.3316839848259935E-4</v>
      </c>
      <c r="L265" s="8">
        <f>IFERROR(MIN(Q265/1000*1.5, 150),"")</f>
        <v>41.55</v>
      </c>
      <c r="M265" s="7">
        <f>IFERROR(V265/Q265,"")</f>
        <v>21.888086642599276</v>
      </c>
      <c r="N265" s="6">
        <f>IFERROR((S265+U265)/Q265,"")</f>
        <v>0.19815884476534296</v>
      </c>
      <c r="O265" s="6">
        <f>IFERROR(100/(L265+1),"")</f>
        <v>2.3501762632197418</v>
      </c>
      <c r="P265" s="5" t="s">
        <v>24</v>
      </c>
      <c r="Q265" s="4">
        <v>27700</v>
      </c>
      <c r="R265" s="4">
        <v>2846</v>
      </c>
      <c r="S265" s="13">
        <v>5287</v>
      </c>
      <c r="T265" s="13">
        <v>61</v>
      </c>
      <c r="U265" s="13">
        <v>202</v>
      </c>
      <c r="V265" s="13">
        <v>606300</v>
      </c>
      <c r="W265" s="13">
        <v>94</v>
      </c>
      <c r="X265" s="12" t="s">
        <v>23</v>
      </c>
      <c r="Y265" s="12" t="s">
        <v>22</v>
      </c>
      <c r="Z265" s="11">
        <v>45246.021481481483</v>
      </c>
      <c r="AA265" s="2" t="s">
        <v>21</v>
      </c>
      <c r="AB265" s="1" t="s">
        <v>20</v>
      </c>
    </row>
    <row r="266" spans="1:28">
      <c r="A266" s="4">
        <v>264</v>
      </c>
      <c r="B266" s="1" t="s">
        <v>19</v>
      </c>
      <c r="C266" s="1" t="s">
        <v>18</v>
      </c>
      <c r="D266" s="5" t="s">
        <v>17</v>
      </c>
      <c r="E266" s="1" t="s">
        <v>16</v>
      </c>
      <c r="F266" s="1" t="s">
        <v>15</v>
      </c>
      <c r="G266" s="10"/>
      <c r="H266" s="10" t="str">
        <f>IF(Q266&lt;100000,"1.마이크로-10만명 미만","2.메가-10만명 이상")</f>
        <v>1.마이크로-10만명 미만</v>
      </c>
      <c r="I266" s="10" t="str">
        <f ca="1">IFERROR(__xludf.DUMMYFUNCTION("iferror(REGEXEXTRACT(E266,""[a-zA-Z0-9._%+-]+@[a-zA-Z0-9.-]+\.[a-zA-Z]{2,}""),""2.이메일 없음"")"),"2.이메일 없음")</f>
        <v>2.이메일 없음</v>
      </c>
      <c r="J266" s="10">
        <f>IFERROR((S266+T266+U266)/V266,"")</f>
        <v>6.0869565217391307E-2</v>
      </c>
      <c r="K266" s="9">
        <f>IFERROR(U266/V266,"")</f>
        <v>0</v>
      </c>
      <c r="L266" s="8">
        <f>IFERROR(MIN(Q266/1000*1.5, 150),"")</f>
        <v>8.1000000000000003E-2</v>
      </c>
      <c r="M266" s="7">
        <f>IFERROR(V266/Q266,"")</f>
        <v>4.2592592592592595</v>
      </c>
      <c r="N266" s="6">
        <f>IFERROR((S266+U266)/Q266,"")</f>
        <v>0.25925925925925924</v>
      </c>
      <c r="O266" s="6">
        <f>IFERROR(100/(L266+1),"")</f>
        <v>92.506938020351527</v>
      </c>
      <c r="P266" s="5" t="s">
        <v>14</v>
      </c>
      <c r="Q266" s="4">
        <v>54</v>
      </c>
      <c r="R266" s="4">
        <v>9</v>
      </c>
      <c r="S266" s="4">
        <v>14</v>
      </c>
      <c r="T266" s="4">
        <v>0</v>
      </c>
      <c r="U266" s="4">
        <v>0</v>
      </c>
      <c r="V266" s="4">
        <v>230</v>
      </c>
      <c r="W266" s="4">
        <v>88</v>
      </c>
      <c r="X266" s="1" t="s">
        <v>13</v>
      </c>
      <c r="Y266" s="1" t="s">
        <v>12</v>
      </c>
      <c r="Z266" s="3">
        <v>45910.099861111114</v>
      </c>
      <c r="AA266" s="2" t="s">
        <v>11</v>
      </c>
      <c r="AB266" s="1" t="s">
        <v>10</v>
      </c>
    </row>
    <row r="267" spans="1:28">
      <c r="A267" s="4">
        <v>265</v>
      </c>
      <c r="B267" s="1" t="s">
        <v>9</v>
      </c>
      <c r="C267" s="1" t="s">
        <v>8</v>
      </c>
      <c r="D267" s="5" t="s">
        <v>7</v>
      </c>
      <c r="E267" s="1" t="s">
        <v>6</v>
      </c>
      <c r="F267" s="1" t="s">
        <v>5</v>
      </c>
      <c r="G267" s="10"/>
      <c r="H267" s="10" t="str">
        <f>IF(Q267&lt;100000,"1.마이크로-10만명 미만","2.메가-10만명 이상")</f>
        <v>1.마이크로-10만명 미만</v>
      </c>
      <c r="I267" s="10" t="str">
        <f ca="1">IFERROR(__xludf.DUMMYFUNCTION("iferror(REGEXEXTRACT(E267,""[a-zA-Z0-9._%+-]+@[a-zA-Z0-9.-]+\.[a-zA-Z]{2,}""),""2.이메일 없음"")"),"2.이메일 없음")</f>
        <v>2.이메일 없음</v>
      </c>
      <c r="J267" s="10">
        <f>IFERROR((S267+T267+U267)/V267,"")</f>
        <v>4.0446428571428571E-2</v>
      </c>
      <c r="K267" s="9">
        <f>IFERROR(U267/V267,"")</f>
        <v>5.3571428571428574E-4</v>
      </c>
      <c r="L267" s="8">
        <f>IFERROR(MIN(Q267/1000*1.5, 150),"")</f>
        <v>99.899999999999991</v>
      </c>
      <c r="M267" s="7">
        <f>IFERROR(V267/Q267,"")</f>
        <v>0.16816816816816818</v>
      </c>
      <c r="N267" s="6">
        <f>IFERROR((S267+U267)/Q267,"")</f>
        <v>6.5465465465465462E-3</v>
      </c>
      <c r="O267" s="6">
        <f>IFERROR(100/(L267+1),"")</f>
        <v>0.99108027750247774</v>
      </c>
      <c r="P267" s="5" t="s">
        <v>4</v>
      </c>
      <c r="Q267" s="4">
        <v>66600</v>
      </c>
      <c r="R267" s="4">
        <v>190</v>
      </c>
      <c r="S267" s="4">
        <v>430</v>
      </c>
      <c r="T267" s="4">
        <v>17</v>
      </c>
      <c r="U267" s="4">
        <v>6</v>
      </c>
      <c r="V267" s="4">
        <v>11200</v>
      </c>
      <c r="W267" s="4">
        <v>12</v>
      </c>
      <c r="X267" s="1" t="s">
        <v>3</v>
      </c>
      <c r="Y267" s="1" t="s">
        <v>2</v>
      </c>
      <c r="Z267" s="3">
        <v>45871.283958333333</v>
      </c>
      <c r="AA267" s="2" t="s">
        <v>1</v>
      </c>
      <c r="AB267" s="1" t="s">
        <v>0</v>
      </c>
    </row>
  </sheetData>
  <autoFilter ref="A2:AB267" xr:uid="{00000000-0009-0000-0000-000003000000}">
    <sortState xmlns:xlrd2="http://schemas.microsoft.com/office/spreadsheetml/2017/richdata2" ref="A2:AB267">
      <sortCondition ref="A2:A267"/>
      <sortCondition ref="H2:H267"/>
      <sortCondition ref="I2:I267"/>
    </sortState>
  </autoFilter>
  <hyperlinks>
    <hyperlink ref="P3" r:id="rId1" xr:uid="{E729757D-C962-8F4F-AE05-5B434748136C}"/>
    <hyperlink ref="AA3" r:id="rId2" xr:uid="{6D4663E8-FE8F-EB4B-BDD4-95ADA9C88D52}"/>
    <hyperlink ref="AA4" r:id="rId3" xr:uid="{04C3DBC5-0213-834A-8D21-59CA5D666B14}"/>
    <hyperlink ref="AA5" r:id="rId4" xr:uid="{548F58E2-D0AA-9646-AB91-3ACE66252F6B}"/>
    <hyperlink ref="AA6" r:id="rId5" xr:uid="{58C8EFDA-F9C1-CE4B-9329-A0F3CB66D1D2}"/>
    <hyperlink ref="AA7" r:id="rId6" xr:uid="{B7BB6CDC-8DF9-BA47-A6EB-21BEF6085289}"/>
    <hyperlink ref="AA8" r:id="rId7" xr:uid="{7C7D9011-B93B-1F42-9CD8-7B35ACE79110}"/>
    <hyperlink ref="AA9" r:id="rId8" xr:uid="{F3EED2F9-88B6-CC45-BBE3-94819B442788}"/>
    <hyperlink ref="AA10" r:id="rId9" xr:uid="{DBDD4486-C238-4044-A347-87DED5589205}"/>
    <hyperlink ref="AA11" r:id="rId10" xr:uid="{24AF1C15-15E5-1845-B795-2920EDF86993}"/>
    <hyperlink ref="AA12" r:id="rId11" xr:uid="{590E5D09-0FF9-C247-BC63-16597ACE8DD4}"/>
    <hyperlink ref="AA13" r:id="rId12" xr:uid="{75A49D30-5C9C-7640-B221-B69D030B60B8}"/>
    <hyperlink ref="AA14" r:id="rId13" xr:uid="{FBBFEC4D-03AB-7843-BC4B-BA25E423588F}"/>
    <hyperlink ref="AA15" r:id="rId14" xr:uid="{76F94150-BC41-7F4B-A731-5148E4460AE4}"/>
    <hyperlink ref="AA16" r:id="rId15" xr:uid="{17CC5199-7A38-B24B-87C2-C94EEBC777F8}"/>
    <hyperlink ref="AA17" r:id="rId16" xr:uid="{93CE7788-1F89-9C46-977D-7C289DF726DB}"/>
    <hyperlink ref="AA18" r:id="rId17" xr:uid="{584527A5-3C98-D142-B70A-2371BA1E9686}"/>
    <hyperlink ref="AA19" r:id="rId18" xr:uid="{8AE4977C-D3B1-DD46-980C-B87DA2BCE02B}"/>
    <hyperlink ref="AA20" r:id="rId19" xr:uid="{1B519FD1-9AF8-354D-BDC7-9E4438352F5E}"/>
    <hyperlink ref="AA21" r:id="rId20" xr:uid="{0AFA3C2E-FF6F-634B-BF9F-1EDCBACF6372}"/>
    <hyperlink ref="AA22" r:id="rId21" xr:uid="{D19182E0-0FA0-E946-BA21-84121E577C26}"/>
    <hyperlink ref="AA23" r:id="rId22" xr:uid="{9333DF48-A0D6-734D-B5CC-D9F87703E01E}"/>
    <hyperlink ref="AA24" r:id="rId23" xr:uid="{D69E94CF-A378-D343-92AC-CDF0AFCC5162}"/>
    <hyperlink ref="AA25" r:id="rId24" xr:uid="{64DAF32F-7859-A340-AE38-A85E4C8C0590}"/>
    <hyperlink ref="AA26" r:id="rId25" xr:uid="{BC089C52-0ECF-4C49-9054-99FA9A4FD7B8}"/>
    <hyperlink ref="AA27" r:id="rId26" xr:uid="{B7597C20-7FF7-3F47-8B70-FFF09181E876}"/>
    <hyperlink ref="AA28" r:id="rId27" xr:uid="{F1B7AC24-23FE-7747-9589-EC991740AD66}"/>
    <hyperlink ref="AA29" r:id="rId28" xr:uid="{796C7C41-5682-C24E-A78F-0FCD320F8972}"/>
    <hyperlink ref="AA30" r:id="rId29" xr:uid="{FAB60179-656F-AC47-986D-0B13C331B761}"/>
    <hyperlink ref="AA31" r:id="rId30" xr:uid="{A35760D1-5611-DA41-BADD-9DA2C565F7E7}"/>
    <hyperlink ref="AA32" r:id="rId31" xr:uid="{78EEC44E-37E7-F944-878B-D48624373152}"/>
    <hyperlink ref="AA33" r:id="rId32" xr:uid="{2D7E78C3-F5F2-A845-99F2-7C08A04978F1}"/>
    <hyperlink ref="AA34" r:id="rId33" xr:uid="{22A8E6A4-C574-2E4E-8BCD-EBBA7F7D67DA}"/>
    <hyperlink ref="AA35" r:id="rId34" xr:uid="{90639B74-53F1-1B4E-944F-F5841CEAD2C4}"/>
    <hyperlink ref="AA36" r:id="rId35" xr:uid="{2D4F5A36-8D5A-2446-ADFC-0104E375720D}"/>
    <hyperlink ref="AA37" r:id="rId36" xr:uid="{0558F4E7-69AB-574E-A9DC-B0B442AA7BB5}"/>
    <hyperlink ref="AA38" r:id="rId37" xr:uid="{CF813F31-5257-4D47-93F9-BA1683B1B3F5}"/>
    <hyperlink ref="AA39" r:id="rId38" xr:uid="{9085D301-810F-354C-A814-A99C731EBE46}"/>
    <hyperlink ref="AA40" r:id="rId39" xr:uid="{92B6FDE5-BF00-7546-8CF9-875B0F5A4DD3}"/>
    <hyperlink ref="AA41" r:id="rId40" xr:uid="{FB05C039-F22B-B249-845E-5560E4CAEFD8}"/>
    <hyperlink ref="AA42" r:id="rId41" xr:uid="{DDBA396E-2760-7B4D-8F79-539FF6DA8BB3}"/>
    <hyperlink ref="AA43" r:id="rId42" xr:uid="{D6BBD3E7-EB64-8443-9C30-A2798E2333B5}"/>
    <hyperlink ref="AA44" r:id="rId43" xr:uid="{7C654855-EB29-0B41-B33B-D8E9518F1385}"/>
    <hyperlink ref="AA45" r:id="rId44" xr:uid="{6C36FEEB-7413-0342-B624-26613D7567E5}"/>
    <hyperlink ref="AA46" r:id="rId45" xr:uid="{7B1C6B66-20AE-244E-AB7F-DC0384BAC92D}"/>
    <hyperlink ref="AA47" r:id="rId46" xr:uid="{75248142-A177-5045-89E0-2622E4D8D6F7}"/>
    <hyperlink ref="AA48" r:id="rId47" xr:uid="{576DD75C-2A20-2D49-8027-D4B8D4C9FEF0}"/>
    <hyperlink ref="AA49" r:id="rId48" xr:uid="{4503D33E-1032-B14C-94F0-D959FCCC07DC}"/>
    <hyperlink ref="AA50" r:id="rId49" xr:uid="{D60F6369-C000-2342-9F96-2A851D65FDC9}"/>
    <hyperlink ref="AA51" r:id="rId50" xr:uid="{7F51BCA6-69C8-534F-97AF-7BBCD372D6E8}"/>
    <hyperlink ref="AA52" r:id="rId51" xr:uid="{0DFBA411-0938-DF4F-AAEF-A103EBE860F1}"/>
    <hyperlink ref="AA53" r:id="rId52" xr:uid="{859D69BB-5A06-6E42-B265-A633D189C980}"/>
    <hyperlink ref="AA54" r:id="rId53" xr:uid="{7E7F9225-32BC-A34D-B5CE-859DD900E075}"/>
    <hyperlink ref="AA55" r:id="rId54" xr:uid="{6D3C90A9-9C54-FD42-808D-C63E99BA95CB}"/>
    <hyperlink ref="AA56" r:id="rId55" xr:uid="{B2FA5019-CC98-7D42-A500-441602FA25B9}"/>
    <hyperlink ref="AA57" r:id="rId56" xr:uid="{F15B5FE9-0849-574F-8649-4ABB3B5F8CAC}"/>
    <hyperlink ref="AA58" r:id="rId57" xr:uid="{996AE835-6E64-144A-9BD2-DCF2F3C5C9C1}"/>
    <hyperlink ref="AA59" r:id="rId58" xr:uid="{18388D96-8B88-E64E-9F86-D610EC2E90D3}"/>
    <hyperlink ref="AA60" r:id="rId59" xr:uid="{913435E1-01C5-DF43-BAEC-F72E0A83A9DB}"/>
    <hyperlink ref="AA61" r:id="rId60" xr:uid="{89D9C8AC-D59B-5042-86FD-DB3ABA7FEDCC}"/>
    <hyperlink ref="AA62" r:id="rId61" xr:uid="{E951F5A4-F722-0A40-90FA-778242E9CFF5}"/>
    <hyperlink ref="AA63" r:id="rId62" xr:uid="{B1025690-4070-C344-98D5-56FD684244F4}"/>
    <hyperlink ref="AA64" r:id="rId63" xr:uid="{6B273987-0C0A-9C41-A521-3CE84CAF90C1}"/>
    <hyperlink ref="AA65" r:id="rId64" xr:uid="{35761C5B-0BF0-9C45-A3ED-64E1AAEFBB1E}"/>
    <hyperlink ref="AA66" r:id="rId65" xr:uid="{A7CB3282-90D9-4F49-A2F2-B82BA4E4772E}"/>
    <hyperlink ref="AA67" r:id="rId66" xr:uid="{88A97EFA-CBA9-664F-AC5A-72C1D89562C8}"/>
    <hyperlink ref="AA68" r:id="rId67" xr:uid="{9B261D5A-EE3B-344A-BFE9-962116C991FC}"/>
    <hyperlink ref="AA69" r:id="rId68" xr:uid="{FE52CC71-0704-DA46-9AA4-8D22CB1B3662}"/>
    <hyperlink ref="AA70" r:id="rId69" xr:uid="{4C3AF29A-61B1-FA4D-9BB0-B7C363A348FC}"/>
    <hyperlink ref="AA71" r:id="rId70" xr:uid="{2D90262C-A5E1-BA48-A222-2FDE13F4802D}"/>
    <hyperlink ref="AA72" r:id="rId71" xr:uid="{9EF6DD70-B98F-8243-BA82-229760653BCE}"/>
    <hyperlink ref="AA73" r:id="rId72" xr:uid="{612AB256-1884-F74D-9E06-875F70F4E74E}"/>
    <hyperlink ref="AA74" r:id="rId73" xr:uid="{BC28E82C-5C5A-1345-B969-8197DE58C2FF}"/>
    <hyperlink ref="AA75" r:id="rId74" xr:uid="{CCC9B2CB-970E-2845-BBF1-A0A54B7EA75F}"/>
    <hyperlink ref="AA76" r:id="rId75" xr:uid="{6634ED85-01B3-5F4E-BF20-16858671D4BE}"/>
    <hyperlink ref="AA77" r:id="rId76" xr:uid="{53CE4452-13E0-E34B-803A-033E37454BA5}"/>
    <hyperlink ref="AA78" r:id="rId77" xr:uid="{2A616BB7-117E-6442-8201-43838E8DDA56}"/>
    <hyperlink ref="AA79" r:id="rId78" xr:uid="{1F7664D6-42C3-2248-BCE8-EEE3B96C7103}"/>
    <hyperlink ref="AA80" r:id="rId79" xr:uid="{4A0CDE9B-9846-2445-B6CC-F90D893E9273}"/>
    <hyperlink ref="AA81" r:id="rId80" xr:uid="{AD0CCB35-7107-6646-867D-B49E588DE004}"/>
    <hyperlink ref="AA82" r:id="rId81" xr:uid="{7484DC4A-9097-884B-AE63-CCA71E894C3B}"/>
    <hyperlink ref="AA83" r:id="rId82" xr:uid="{BF2F7F87-E9C6-8E49-96A8-2A6852E0E569}"/>
    <hyperlink ref="AA84" r:id="rId83" xr:uid="{2FE81581-3230-DD4F-A72A-FBF5E7C41472}"/>
    <hyperlink ref="AA85" r:id="rId84" xr:uid="{428950EB-2C9E-5A4B-949E-F08453E99BCD}"/>
    <hyperlink ref="AA86" r:id="rId85" xr:uid="{7776E28D-BEB5-804F-BE30-5222CC338803}"/>
    <hyperlink ref="AA87" r:id="rId86" xr:uid="{0B1A5D43-3017-BF45-91BE-0398EA90C523}"/>
    <hyperlink ref="AA88" r:id="rId87" xr:uid="{66CE5628-68A2-E941-A797-25226037E039}"/>
    <hyperlink ref="AA89" r:id="rId88" xr:uid="{C250D17D-45C1-384C-A186-599406A00048}"/>
    <hyperlink ref="AA90" r:id="rId89" xr:uid="{26D24383-34DA-0647-85F3-114186AD31E4}"/>
    <hyperlink ref="AA91" r:id="rId90" xr:uid="{7EFA4AC2-1426-C646-8CB4-76073C0C02BA}"/>
    <hyperlink ref="AA92" r:id="rId91" xr:uid="{FBA0C76D-8D64-D14D-9581-E8DE4C7C1FF6}"/>
    <hyperlink ref="AA93" r:id="rId92" xr:uid="{17F57A85-AE37-294A-AE16-E276C9DCC9A1}"/>
    <hyperlink ref="AA94" r:id="rId93" xr:uid="{40C20CA7-40B8-0645-AC1F-807CB28ED49E}"/>
    <hyperlink ref="AA95" r:id="rId94" xr:uid="{BE221C82-CEEA-D245-8285-527D5BB4A1AB}"/>
    <hyperlink ref="AA96" r:id="rId95" xr:uid="{FBFFFE25-C64D-AF46-86DA-93738E863B1C}"/>
    <hyperlink ref="AA97" r:id="rId96" xr:uid="{A170B18D-B723-A04F-89B2-BC6F6AD82F51}"/>
    <hyperlink ref="AA98" r:id="rId97" xr:uid="{0A4394D2-0D4C-B348-B509-68F700FF85D3}"/>
    <hyperlink ref="AA99" r:id="rId98" xr:uid="{186764F2-7E4D-1D4C-B0F8-49D5B42C35C9}"/>
    <hyperlink ref="AA100" r:id="rId99" xr:uid="{7E29DC32-53AA-CF45-B046-B3BA718D9030}"/>
    <hyperlink ref="AA101" r:id="rId100" xr:uid="{862BDF62-97F4-8D4E-99EC-A4E029855805}"/>
    <hyperlink ref="AA102" r:id="rId101" xr:uid="{AA0FB9B4-D79C-1245-81D4-5EBA62CA157B}"/>
    <hyperlink ref="AA103" r:id="rId102" xr:uid="{A7D7B44F-DE92-1C4B-807F-86025CC0F080}"/>
    <hyperlink ref="AA104" r:id="rId103" xr:uid="{5FEDCAEF-6F32-1B48-A488-F126814212C9}"/>
    <hyperlink ref="AA105" r:id="rId104" xr:uid="{A5A641AA-185E-4C44-AACE-2174483C0531}"/>
    <hyperlink ref="AA106" r:id="rId105" xr:uid="{EC5468A7-8087-5543-9C52-888B9F6DC16F}"/>
    <hyperlink ref="AA107" r:id="rId106" xr:uid="{E56BE82D-F63E-BC40-AC45-E63826A44B14}"/>
    <hyperlink ref="AA108" r:id="rId107" xr:uid="{5F8033D4-EA85-7B4E-AB73-DAF6821135D7}"/>
    <hyperlink ref="AA109" r:id="rId108" xr:uid="{2A9F0D85-E530-6C40-A98E-721CFB44D401}"/>
    <hyperlink ref="AA110" r:id="rId109" xr:uid="{820A4846-68A5-D34C-9E0D-F41272ADDB5B}"/>
    <hyperlink ref="AA111" r:id="rId110" xr:uid="{A49142CF-6861-3443-A76C-994C740AD75F}"/>
    <hyperlink ref="AA112" r:id="rId111" xr:uid="{9710CFE5-F3E9-6848-B59A-E32D1330837C}"/>
    <hyperlink ref="AA113" r:id="rId112" xr:uid="{89D4DCD2-68D1-4140-82DD-4C1E47315800}"/>
    <hyperlink ref="AA114" r:id="rId113" xr:uid="{44ECAF37-55D4-8B40-8B81-BA049010AEB9}"/>
    <hyperlink ref="AA115" r:id="rId114" xr:uid="{BF72A72F-C4B3-5A40-8453-23F8F49E9643}"/>
    <hyperlink ref="AA116" r:id="rId115" xr:uid="{6E35E551-7A60-554A-A850-5AB1A2C616A8}"/>
    <hyperlink ref="AA117" r:id="rId116" xr:uid="{65729644-955C-774D-A68B-836F26A30B0E}"/>
    <hyperlink ref="AA118" r:id="rId117" xr:uid="{11D5FF90-03A8-824F-A9F5-AE44D50D96F5}"/>
    <hyperlink ref="AA119" r:id="rId118" xr:uid="{088E66B6-3C5C-6A4C-A3A7-03D1825D884E}"/>
    <hyperlink ref="AA120" r:id="rId119" xr:uid="{73FA1689-B8F7-1B4F-9B8D-1DD8B9BE4748}"/>
    <hyperlink ref="AA121" r:id="rId120" xr:uid="{C7D7AD6D-0A5F-4E4E-9F66-A630FFF22B32}"/>
    <hyperlink ref="AA122" r:id="rId121" xr:uid="{8E775AA3-BF93-CB43-A368-126AC0EA49A6}"/>
    <hyperlink ref="AA123" r:id="rId122" xr:uid="{1270BAE7-F0FB-9B4D-A819-014629112933}"/>
    <hyperlink ref="AA124" r:id="rId123" xr:uid="{9570F48A-2A44-024E-9C1B-1958F35713EE}"/>
    <hyperlink ref="AA125" r:id="rId124" xr:uid="{789D2958-F34E-EE4B-AFB5-A002A8818CD2}"/>
    <hyperlink ref="AA126" r:id="rId125" xr:uid="{03699A39-156C-2D43-A21E-AD8B0035EA7A}"/>
    <hyperlink ref="AA127" r:id="rId126" xr:uid="{26991BD8-99CE-E041-AAAE-6BB1DDC980B6}"/>
    <hyperlink ref="AA128" r:id="rId127" xr:uid="{97BE9596-EFF4-8A47-BCC1-87B95DE195AE}"/>
    <hyperlink ref="AA129" r:id="rId128" xr:uid="{E39F421B-20B3-5B4D-AAC2-723787EF8808}"/>
    <hyperlink ref="AA130" r:id="rId129" xr:uid="{CA6E9C30-9634-FD46-A911-3FC00EF7BBF7}"/>
    <hyperlink ref="AA131" r:id="rId130" xr:uid="{443A5209-2BB1-8C40-93A1-31E1845CABC0}"/>
    <hyperlink ref="AA132" r:id="rId131" xr:uid="{02D9801A-0168-964A-A99D-57A47AD4F205}"/>
    <hyperlink ref="AA133" r:id="rId132" xr:uid="{C307F863-2A0B-4047-ACE1-ABEED9A196F3}"/>
    <hyperlink ref="AA134" r:id="rId133" xr:uid="{841650F5-1841-EC4B-9F27-E462DC1B49D5}"/>
    <hyperlink ref="AA135" r:id="rId134" xr:uid="{FED22515-504F-254A-9AED-2F3798973488}"/>
    <hyperlink ref="AA136" r:id="rId135" xr:uid="{1357AC38-EF3F-1E4F-AEA0-120F02D2DACD}"/>
    <hyperlink ref="AA137" r:id="rId136" xr:uid="{9174F4F3-465C-0C4D-85D1-9F37F5A4BEBE}"/>
    <hyperlink ref="AA138" r:id="rId137" xr:uid="{46495577-1E77-564B-A393-D11CECD735B5}"/>
    <hyperlink ref="AA139" r:id="rId138" xr:uid="{7583414F-95B0-464A-A196-5C5794A7B830}"/>
    <hyperlink ref="AA140" r:id="rId139" xr:uid="{74D1D02F-3C20-2B44-B9F6-B1818936A7FB}"/>
    <hyperlink ref="AA141" r:id="rId140" xr:uid="{66D19472-ADD0-F946-809E-5ACC502C554E}"/>
    <hyperlink ref="AA142" r:id="rId141" xr:uid="{21C51E04-9D81-414E-B325-2E58B22ED2EC}"/>
    <hyperlink ref="AA143" r:id="rId142" xr:uid="{E37E34A5-F51E-4C49-A381-8C0375FC2D90}"/>
    <hyperlink ref="AA144" r:id="rId143" xr:uid="{9EC4B35F-8135-9B47-BC19-5823046E9CC1}"/>
    <hyperlink ref="AA145" r:id="rId144" xr:uid="{1B8BADB6-05D3-D84D-ABBF-28A0A37D8854}"/>
    <hyperlink ref="AA146" r:id="rId145" xr:uid="{944D9D09-5D57-2C45-8468-3D43971D2559}"/>
    <hyperlink ref="AA147" r:id="rId146" xr:uid="{25B87B59-FABB-D144-9593-F5DDD7232ACE}"/>
    <hyperlink ref="AA148" r:id="rId147" xr:uid="{A8931931-8254-8E4E-AFC8-B926422F3D2A}"/>
    <hyperlink ref="AA149" r:id="rId148" xr:uid="{86E7C53B-294B-9543-865B-E8BA43027CA6}"/>
    <hyperlink ref="AA150" r:id="rId149" xr:uid="{AD6B411B-068D-544B-B97B-737115E1E65B}"/>
    <hyperlink ref="AA151" r:id="rId150" xr:uid="{43A01CAB-DEB9-F143-990B-A035E8F68FBC}"/>
    <hyperlink ref="AA152" r:id="rId151" xr:uid="{2F84991B-57F9-9C43-B027-B24D27FE6A0C}"/>
    <hyperlink ref="AA153" r:id="rId152" xr:uid="{6314F036-CF2E-4D49-8C6D-547B5FF6B472}"/>
    <hyperlink ref="AA154" r:id="rId153" xr:uid="{2CAC5610-DC83-3A4D-B6A8-CD8A5BEF8AA2}"/>
    <hyperlink ref="AA155" r:id="rId154" xr:uid="{59464C0D-CA4B-5148-8675-64A81559AE62}"/>
    <hyperlink ref="AA156" r:id="rId155" xr:uid="{F56634EB-4828-9644-BD05-55BBFBE46907}"/>
    <hyperlink ref="AA157" r:id="rId156" xr:uid="{B0372A75-2125-FE44-9417-1DC55E437D44}"/>
    <hyperlink ref="AA158" r:id="rId157" xr:uid="{6775D82D-4D76-4545-ADB2-FE961859AAB8}"/>
    <hyperlink ref="AA159" r:id="rId158" xr:uid="{12EFDBED-78D2-E94D-98C8-937472CFB524}"/>
    <hyperlink ref="AA160" r:id="rId159" xr:uid="{024DD0E1-79DC-5E41-BF99-F714DC0BDC46}"/>
    <hyperlink ref="AA161" r:id="rId160" xr:uid="{E08E30B3-6B96-444B-BDDA-7F9274D314E1}"/>
    <hyperlink ref="AA162" r:id="rId161" xr:uid="{CAC7F356-BFB1-3D48-A0CC-626D299229CC}"/>
    <hyperlink ref="AA163" r:id="rId162" xr:uid="{8958AF38-C36B-C64F-A3B4-3EE3B00965F1}"/>
    <hyperlink ref="AA164" r:id="rId163" xr:uid="{523DFED3-36AA-744D-BB04-212C24165B24}"/>
    <hyperlink ref="AA165" r:id="rId164" xr:uid="{3272C89D-9EAD-2743-9E4F-66B004F3904F}"/>
    <hyperlink ref="C166" r:id="rId165" xr:uid="{806E0FF4-DAAD-2245-8195-6788BC096D74}"/>
    <hyperlink ref="AA166" r:id="rId166" xr:uid="{1742C7B9-BB61-0049-8D2D-4C27B70B8D03}"/>
    <hyperlink ref="AA167" r:id="rId167" xr:uid="{3086180C-DB8D-2046-BA9F-B63EADB28F1A}"/>
    <hyperlink ref="AA168" r:id="rId168" xr:uid="{EDC92F53-7242-9142-A9E3-39AEBF8E57CE}"/>
    <hyperlink ref="AA169" r:id="rId169" xr:uid="{68C0EA4F-1EF4-B845-AFD1-E799A1F1A8CE}"/>
    <hyperlink ref="AA170" r:id="rId170" xr:uid="{781FFBAF-0C3E-A346-B568-9E0A410524FA}"/>
    <hyperlink ref="AA171" r:id="rId171" xr:uid="{34E500B0-4249-FB40-803D-C04E5C07D83B}"/>
    <hyperlink ref="B172" r:id="rId172" xr:uid="{75E1659D-0514-D348-815D-AB9E495A2D84}"/>
    <hyperlink ref="AA172" r:id="rId173" xr:uid="{283D7ED4-4EAD-684F-8049-EA22FD77BAD3}"/>
    <hyperlink ref="AA173" r:id="rId174" xr:uid="{8D4AF83D-3E24-7342-92C8-4D157B89B110}"/>
    <hyperlink ref="AA174" r:id="rId175" xr:uid="{CFF13224-26B0-6C4E-B4C5-179D63824BB1}"/>
    <hyperlink ref="AA175" r:id="rId176" xr:uid="{1AF017B9-8983-F046-BEA8-75E52418FF9D}"/>
    <hyperlink ref="AA176" r:id="rId177" xr:uid="{D32DC600-E9A6-0445-8195-9B36A8827734}"/>
    <hyperlink ref="AA177" r:id="rId178" xr:uid="{4CF9BF16-7718-5948-AB9E-5D08499874BF}"/>
    <hyperlink ref="AA178" r:id="rId179" xr:uid="{B52658FE-B609-3F45-81D1-6725F6D4C298}"/>
    <hyperlink ref="AA179" r:id="rId180" xr:uid="{1F1E441F-A82B-B74C-8F54-CB2FA8F1AD60}"/>
    <hyperlink ref="AA180" r:id="rId181" xr:uid="{5FEAC6A7-E0B4-FE4C-B47E-1CAF54BFA5CC}"/>
    <hyperlink ref="AA181" r:id="rId182" xr:uid="{08A27574-3FF4-3D43-9FC5-2444F9A17349}"/>
    <hyperlink ref="AA182" r:id="rId183" xr:uid="{B4ACEB55-8D92-DE4D-B61D-B853ADF2EAEE}"/>
    <hyperlink ref="AA183" r:id="rId184" xr:uid="{5F7CCF83-C245-394B-AE94-CEF583252DA2}"/>
    <hyperlink ref="B184" r:id="rId185" xr:uid="{8E7434D0-D318-244F-8B8C-5D6EFA6B5153}"/>
    <hyperlink ref="AA184" r:id="rId186" xr:uid="{79C6F280-7AB9-0640-B8E3-F48A997B3BB8}"/>
    <hyperlink ref="AA185" r:id="rId187" xr:uid="{F60C12DF-15CD-7C4C-B3ED-9134B05A644D}"/>
    <hyperlink ref="AA186" r:id="rId188" xr:uid="{A7FD9BE3-5CE1-5145-8D01-70C588B5160A}"/>
    <hyperlink ref="AA187" r:id="rId189" xr:uid="{D28150B8-5307-EF43-8D97-7955189E0507}"/>
    <hyperlink ref="AA188" r:id="rId190" xr:uid="{BD6E1971-8C0B-5347-B552-5FA510C02C06}"/>
    <hyperlink ref="AA189" r:id="rId191" xr:uid="{680CF575-AEDB-114C-8D8F-D6C552A404D8}"/>
    <hyperlink ref="AA190" r:id="rId192" xr:uid="{42E0BC51-1A7C-7E4F-9C08-3EAA58D6AB9D}"/>
    <hyperlink ref="AA191" r:id="rId193" xr:uid="{951CC5F0-DA35-C04B-BD6F-97050EF453A7}"/>
    <hyperlink ref="AA192" r:id="rId194" xr:uid="{676414D3-DA2D-E34F-8449-1DE02CB3EABB}"/>
    <hyperlink ref="AA193" r:id="rId195" xr:uid="{49777D45-9A85-1A45-8C60-50971141206D}"/>
    <hyperlink ref="AA194" r:id="rId196" xr:uid="{14B285C6-1E1C-1D43-AF2A-BDDA6F42590F}"/>
    <hyperlink ref="AA195" r:id="rId197" xr:uid="{46B503A8-4CC6-7542-902B-897FEA7B80C9}"/>
    <hyperlink ref="AA196" r:id="rId198" xr:uid="{E41EBCEF-96EB-8A46-89C5-DA29D4B5209D}"/>
    <hyperlink ref="AA197" r:id="rId199" xr:uid="{BC802073-B0F3-CC47-951A-8DD61675A5F3}"/>
    <hyperlink ref="AA198" r:id="rId200" xr:uid="{695442CB-B39F-6D4B-91C7-F6DBA0390656}"/>
    <hyperlink ref="AA199" r:id="rId201" xr:uid="{CCF0EDCE-B311-9B4D-82E5-D31A98C7F7E2}"/>
    <hyperlink ref="AA200" r:id="rId202" xr:uid="{E1578D17-4B49-9646-B020-3C603E95B78B}"/>
    <hyperlink ref="AA201" r:id="rId203" xr:uid="{B41AC244-F62C-DF4C-A548-E525C31AD8D0}"/>
    <hyperlink ref="AA202" r:id="rId204" xr:uid="{DFD3529C-8A6E-BE44-96F0-DAA01EF87F50}"/>
    <hyperlink ref="AA203" r:id="rId205" xr:uid="{491C0192-DD7A-D741-B243-56182341D3E9}"/>
    <hyperlink ref="AA204" r:id="rId206" xr:uid="{2797943A-C6DD-1547-907F-C4AB3112AA0E}"/>
    <hyperlink ref="AA205" r:id="rId207" xr:uid="{35CA1CB5-6C6D-D743-9FCF-EC6F01112CA5}"/>
    <hyperlink ref="AA206" r:id="rId208" xr:uid="{C703744A-18F4-2F46-B62E-4FF86F261087}"/>
    <hyperlink ref="AA207" r:id="rId209" xr:uid="{6BBEAC88-2FD7-2542-BC16-A911C5AFF4B8}"/>
    <hyperlink ref="AA208" r:id="rId210" xr:uid="{19C0E396-E9AB-B44F-AC88-F8DD4E91B221}"/>
    <hyperlink ref="AA209" r:id="rId211" xr:uid="{1C30A37C-D667-C44F-A7CE-ABF4EA302C4F}"/>
    <hyperlink ref="AA210" r:id="rId212" xr:uid="{90CE82C7-73F5-8E44-BD32-CED16E805085}"/>
    <hyperlink ref="AA211" r:id="rId213" xr:uid="{5893A5C0-66C5-DD41-8C1B-1E74318331C4}"/>
    <hyperlink ref="AA212" r:id="rId214" xr:uid="{A0E5AB3E-D77A-7848-ABA0-DC50D6C52D88}"/>
    <hyperlink ref="AA213" r:id="rId215" xr:uid="{F13AE72A-248E-0B49-B1D9-B6C314BC89E8}"/>
    <hyperlink ref="AA214" r:id="rId216" xr:uid="{99602AB9-34F5-0F4D-B13E-02DD6A33C06A}"/>
    <hyperlink ref="AA215" r:id="rId217" xr:uid="{20CB5E0A-8279-DA4B-A6F6-FBA3388DAB83}"/>
    <hyperlink ref="AA216" r:id="rId218" xr:uid="{D5CC4E9A-F4C9-F745-8E9C-C2DA16AE4D2E}"/>
    <hyperlink ref="AA217" r:id="rId219" xr:uid="{2CBB92DB-C16E-9C4E-A5DD-E53972655B52}"/>
    <hyperlink ref="AA218" r:id="rId220" xr:uid="{63342188-BA16-E84E-9631-526D70BE4665}"/>
    <hyperlink ref="AA219" r:id="rId221" xr:uid="{EE1263FC-4B16-D449-9262-130DC8254F7F}"/>
    <hyperlink ref="AA220" r:id="rId222" xr:uid="{C7714436-A355-7B41-930E-923CF1E88A4C}"/>
    <hyperlink ref="AA221" r:id="rId223" xr:uid="{CD32E845-E261-8F49-8CBB-FA924175528A}"/>
    <hyperlink ref="AA222" r:id="rId224" xr:uid="{0E73FD78-DECE-3A45-946A-A208C8413852}"/>
    <hyperlink ref="AA223" r:id="rId225" xr:uid="{B1A84D6B-BB3C-D944-9999-94DF6298C3C6}"/>
    <hyperlink ref="AA224" r:id="rId226" xr:uid="{70DA0137-6547-B546-A122-428FED03E534}"/>
    <hyperlink ref="AA225" r:id="rId227" xr:uid="{8F99C668-E175-B64F-A9AE-F50A91291B54}"/>
    <hyperlink ref="AA226" r:id="rId228" xr:uid="{572E5D26-ABBB-BF4D-8419-7EAD2767A7F1}"/>
    <hyperlink ref="AA227" r:id="rId229" xr:uid="{61308EDD-575A-F24D-8685-D72D1A02C1B2}"/>
    <hyperlink ref="AA228" r:id="rId230" xr:uid="{56742C72-70EF-784F-82FD-0987A34227EC}"/>
    <hyperlink ref="AA229" r:id="rId231" xr:uid="{10D0816D-60B1-7445-909B-25CA42EBEA31}"/>
    <hyperlink ref="AA230" r:id="rId232" xr:uid="{B45E167C-A49B-224D-A3B4-3E9D05DA870A}"/>
    <hyperlink ref="AA231" r:id="rId233" xr:uid="{D8D62468-78E2-134E-B63B-D9F94A15F986}"/>
    <hyperlink ref="AA232" r:id="rId234" xr:uid="{36E94F72-CF04-A74B-8A74-A35EA809D929}"/>
    <hyperlink ref="AA233" r:id="rId235" xr:uid="{1FF6212B-77E5-5E41-AC4E-C4061965D1CA}"/>
    <hyperlink ref="AA234" r:id="rId236" xr:uid="{5F955A49-3641-9D4B-9328-B201AA8FCC3F}"/>
    <hyperlink ref="AA235" r:id="rId237" xr:uid="{22480A3B-A54D-094A-87B9-5D0EF61CFCF6}"/>
    <hyperlink ref="AA236" r:id="rId238" xr:uid="{273C2121-717B-2040-8910-AE5DA8F282AA}"/>
    <hyperlink ref="AA237" r:id="rId239" xr:uid="{A568696A-B6C9-F944-9529-0A21B60223E4}"/>
    <hyperlink ref="AA238" r:id="rId240" xr:uid="{D69DEC9F-1D09-1A41-8340-6E156FBAAC1D}"/>
    <hyperlink ref="AA239" r:id="rId241" xr:uid="{E0C410FD-1FAD-1A40-8CE7-752CFAC25020}"/>
    <hyperlink ref="AA240" r:id="rId242" xr:uid="{88A8066E-4E7C-A443-8FD8-9C0834267F29}"/>
    <hyperlink ref="AA241" r:id="rId243" xr:uid="{B73E2F5E-D3C7-9C4A-BB16-039776A95783}"/>
    <hyperlink ref="AA242" r:id="rId244" xr:uid="{C17BB5C2-F981-6C47-8E89-4C625A8B9D95}"/>
    <hyperlink ref="AA243" r:id="rId245" xr:uid="{7132D452-8338-9D4A-97C6-D691AECFBA20}"/>
    <hyperlink ref="AA244" r:id="rId246" xr:uid="{F82EA39E-460E-D04F-9663-AFC71CE5560E}"/>
    <hyperlink ref="AA245" r:id="rId247" xr:uid="{9E0F521B-BCA7-B741-91A7-0FC18D2A62E1}"/>
    <hyperlink ref="AA246" r:id="rId248" xr:uid="{0B0CCF1D-42A6-1C45-94D1-F0699214600A}"/>
    <hyperlink ref="AA247" r:id="rId249" xr:uid="{B055ADA8-CEF3-AA4B-A568-02C059A79E4D}"/>
    <hyperlink ref="AA248" r:id="rId250" xr:uid="{C68014DC-842D-F644-8BD4-851639BAC7AB}"/>
    <hyperlink ref="AA249" r:id="rId251" xr:uid="{8CCBFAD3-8123-9B48-B5A1-0ED075E1E019}"/>
    <hyperlink ref="AA250" r:id="rId252" xr:uid="{D6486E43-994E-8340-837F-30A5B416764A}"/>
    <hyperlink ref="AA251" r:id="rId253" xr:uid="{B641DF21-EA85-CE45-960E-A0E06C8BBAAB}"/>
    <hyperlink ref="AA252" r:id="rId254" xr:uid="{21958E87-9DE0-7F45-85A0-B880464316BB}"/>
    <hyperlink ref="AA253" r:id="rId255" xr:uid="{0188CC30-0465-B34B-A434-A9E7DBBDF1AC}"/>
    <hyperlink ref="AA254" r:id="rId256" xr:uid="{0FF503DF-622B-4049-8A07-C09C37D6B0FD}"/>
    <hyperlink ref="AA255" r:id="rId257" xr:uid="{F932622C-1E3E-DD4A-874D-26B5DB635A0B}"/>
    <hyperlink ref="AA256" r:id="rId258" xr:uid="{E751194A-26E6-DE4F-BA6F-DB82BF925690}"/>
    <hyperlink ref="AA257" r:id="rId259" xr:uid="{B396CCE3-1810-124B-AAEA-04CA1D3D23FE}"/>
    <hyperlink ref="E258" r:id="rId260" xr:uid="{25181D00-7495-0B4A-AC23-CAA1C6C145DD}"/>
    <hyperlink ref="AA258" r:id="rId261" xr:uid="{57310934-6BAC-304B-A293-5E322A2B9402}"/>
    <hyperlink ref="AA259" r:id="rId262" xr:uid="{547C8ACF-0267-464C-8AFE-CCED590147C6}"/>
    <hyperlink ref="AA260" r:id="rId263" xr:uid="{42664F44-F1F9-214B-B05B-B92543F88122}"/>
    <hyperlink ref="AA261" r:id="rId264" xr:uid="{972D8F40-A12C-DF45-94D1-A567A7B6FB2D}"/>
    <hyperlink ref="AA262" r:id="rId265" xr:uid="{81C5852B-6653-C54E-97AA-EAD0DD35A786}"/>
    <hyperlink ref="AA263" r:id="rId266" xr:uid="{9C1E922B-C3FA-1540-AF34-ACE9593C2C27}"/>
    <hyperlink ref="AA264" r:id="rId267" xr:uid="{EEB22302-A6FC-BB43-82D1-1DD439DEDBDD}"/>
    <hyperlink ref="AA265" r:id="rId268" xr:uid="{6C5F5EB4-DB0C-634D-857F-495D867E85C5}"/>
    <hyperlink ref="AA266" r:id="rId269" xr:uid="{C69A9DAF-FA11-3E46-8367-4BFFA89B1682}"/>
    <hyperlink ref="AA267" r:id="rId270" xr:uid="{62B04795-5839-634B-A9F4-C8606D3F17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Tiktok #skimspartner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Chong</dc:creator>
  <cp:lastModifiedBy>Jacob Chong</cp:lastModifiedBy>
  <dcterms:created xsi:type="dcterms:W3CDTF">2025-09-10T07:53:22Z</dcterms:created>
  <dcterms:modified xsi:type="dcterms:W3CDTF">2025-09-10T07:53:52Z</dcterms:modified>
</cp:coreProperties>
</file>