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bha Pant BL.EN.P2EBS15022\code\performance_estimator\streaming\"/>
    </mc:Choice>
  </mc:AlternateContent>
  <bookViews>
    <workbookView xWindow="0" yWindow="0" windowWidth="11520" windowHeight="7155" activeTab="2"/>
  </bookViews>
  <sheets>
    <sheet name="Virtex" sheetId="1" r:id="rId1"/>
    <sheet name="Kintex" sheetId="2" r:id="rId2"/>
    <sheet name="artix" sheetId="3" r:id="rId3"/>
    <sheet name="zyn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W3" i="1"/>
  <c r="W4" i="1"/>
  <c r="W5" i="1"/>
  <c r="W6" i="1"/>
  <c r="W2" i="1"/>
  <c r="Q2" i="1"/>
  <c r="V4" i="1"/>
  <c r="V5" i="1"/>
  <c r="V6" i="1"/>
  <c r="V3" i="1"/>
  <c r="V10" i="1" s="1"/>
  <c r="V2" i="1"/>
  <c r="R2" i="1"/>
  <c r="B12" i="1" l="1"/>
  <c r="R4" i="2"/>
  <c r="R5" i="2"/>
  <c r="R6" i="2"/>
  <c r="R3" i="2"/>
  <c r="R2" i="2"/>
  <c r="Q3" i="2"/>
  <c r="Q4" i="2"/>
  <c r="Q5" i="2"/>
  <c r="Q6" i="2"/>
  <c r="Q2" i="2"/>
  <c r="R3" i="1"/>
  <c r="Q10" i="1"/>
  <c r="E18" i="1"/>
  <c r="R6" i="1"/>
  <c r="R5" i="1"/>
  <c r="R4" i="1"/>
  <c r="D23" i="1"/>
  <c r="D22" i="1"/>
  <c r="D21" i="1"/>
  <c r="D20" i="1"/>
  <c r="D19" i="1"/>
  <c r="D18" i="1"/>
  <c r="O2" i="1" l="1"/>
  <c r="A36" i="1" l="1"/>
  <c r="A35" i="1"/>
  <c r="L23" i="1" l="1"/>
  <c r="K23" i="1"/>
  <c r="Q3" i="1" l="1"/>
  <c r="R6" i="4" l="1"/>
  <c r="Q6" i="4"/>
  <c r="R5" i="4"/>
  <c r="Q5" i="4"/>
  <c r="R4" i="4"/>
  <c r="Q4" i="4"/>
  <c r="R3" i="4"/>
  <c r="Q3" i="4"/>
  <c r="R2" i="4"/>
  <c r="Q2" i="4"/>
  <c r="R6" i="3"/>
  <c r="Q6" i="3"/>
  <c r="R5" i="3"/>
  <c r="Q5" i="3"/>
  <c r="R4" i="3"/>
  <c r="Q4" i="3"/>
  <c r="R3" i="3"/>
  <c r="Q3" i="3"/>
  <c r="R2" i="3"/>
  <c r="D18" i="3" s="1"/>
  <c r="Q2" i="3"/>
  <c r="D22" i="2"/>
  <c r="D21" i="2"/>
  <c r="D20" i="2"/>
  <c r="D19" i="2"/>
  <c r="D18" i="2"/>
  <c r="D23" i="2" l="1"/>
  <c r="A32" i="1"/>
  <c r="D22" i="4" l="1"/>
  <c r="D21" i="4"/>
  <c r="D20" i="4"/>
  <c r="D19" i="4"/>
  <c r="D18" i="4"/>
  <c r="D22" i="3"/>
  <c r="D19" i="3"/>
  <c r="D21" i="3"/>
  <c r="D20" i="3"/>
  <c r="F13" i="2"/>
  <c r="E19" i="1"/>
  <c r="E23" i="1" s="1"/>
  <c r="Q4" i="1"/>
  <c r="Q5" i="1"/>
  <c r="Q6" i="1"/>
  <c r="D23" i="4" l="1"/>
  <c r="E22" i="1"/>
  <c r="E21" i="1"/>
  <c r="E20" i="1"/>
  <c r="Q10" i="2"/>
  <c r="D23" i="3"/>
  <c r="N2" i="1"/>
  <c r="Q10" i="4" l="1"/>
  <c r="F12" i="4"/>
  <c r="S6" i="4" l="1"/>
  <c r="N6" i="4"/>
  <c r="M6" i="4"/>
  <c r="O6" i="4" s="1"/>
  <c r="P6" i="4" s="1"/>
  <c r="B22" i="4" s="1"/>
  <c r="S5" i="4"/>
  <c r="N5" i="4"/>
  <c r="M5" i="4"/>
  <c r="O5" i="4" s="1"/>
  <c r="P5" i="4" s="1"/>
  <c r="B21" i="4" s="1"/>
  <c r="S4" i="4"/>
  <c r="O4" i="4"/>
  <c r="P4" i="4" s="1"/>
  <c r="B20" i="4" s="1"/>
  <c r="N4" i="4"/>
  <c r="M4" i="4"/>
  <c r="S3" i="4"/>
  <c r="O3" i="4"/>
  <c r="P3" i="4" s="1"/>
  <c r="B19" i="4" s="1"/>
  <c r="N3" i="4"/>
  <c r="M3" i="4"/>
  <c r="S2" i="4"/>
  <c r="S10" i="4" s="1"/>
  <c r="R10" i="4"/>
  <c r="B14" i="4" s="1"/>
  <c r="N2" i="4"/>
  <c r="M2" i="4"/>
  <c r="O2" i="4" s="1"/>
  <c r="S6" i="3"/>
  <c r="N6" i="3"/>
  <c r="M6" i="3"/>
  <c r="O6" i="3" s="1"/>
  <c r="P6" i="3" s="1"/>
  <c r="B22" i="3" s="1"/>
  <c r="S5" i="3"/>
  <c r="N5" i="3"/>
  <c r="M5" i="3"/>
  <c r="O5" i="3" s="1"/>
  <c r="P5" i="3" s="1"/>
  <c r="B21" i="3" s="1"/>
  <c r="S4" i="3"/>
  <c r="O4" i="3"/>
  <c r="P4" i="3" s="1"/>
  <c r="B20" i="3" s="1"/>
  <c r="N4" i="3"/>
  <c r="M4" i="3"/>
  <c r="S3" i="3"/>
  <c r="N3" i="3"/>
  <c r="M3" i="3"/>
  <c r="O3" i="3" s="1"/>
  <c r="P3" i="3" s="1"/>
  <c r="B19" i="3" s="1"/>
  <c r="S2" i="3"/>
  <c r="S10" i="3" s="1"/>
  <c r="R10" i="3"/>
  <c r="B14" i="3" s="1"/>
  <c r="N2" i="3"/>
  <c r="M2" i="3"/>
  <c r="O2" i="3" s="1"/>
  <c r="S6" i="2"/>
  <c r="N6" i="2"/>
  <c r="M6" i="2"/>
  <c r="O6" i="2" s="1"/>
  <c r="P6" i="2" s="1"/>
  <c r="B22" i="2" s="1"/>
  <c r="S5" i="2"/>
  <c r="N5" i="2"/>
  <c r="M5" i="2"/>
  <c r="O5" i="2" s="1"/>
  <c r="P5" i="2" s="1"/>
  <c r="B21" i="2" s="1"/>
  <c r="S4" i="2"/>
  <c r="O4" i="2"/>
  <c r="P4" i="2" s="1"/>
  <c r="B20" i="2" s="1"/>
  <c r="N4" i="2"/>
  <c r="M4" i="2"/>
  <c r="S3" i="2"/>
  <c r="N3" i="2"/>
  <c r="M3" i="2"/>
  <c r="O3" i="2" s="1"/>
  <c r="P3" i="2" s="1"/>
  <c r="B19" i="2" s="1"/>
  <c r="S2" i="2"/>
  <c r="S10" i="2" s="1"/>
  <c r="N2" i="2"/>
  <c r="M2" i="2"/>
  <c r="O2" i="2" s="1"/>
  <c r="O10" i="4" l="1"/>
  <c r="B12" i="4" s="1"/>
  <c r="P2" i="4"/>
  <c r="O10" i="3"/>
  <c r="B12" i="3" s="1"/>
  <c r="P2" i="3"/>
  <c r="B18" i="3" s="1"/>
  <c r="B23" i="3" s="1"/>
  <c r="Q10" i="3"/>
  <c r="P2" i="2"/>
  <c r="O10" i="2"/>
  <c r="B12" i="2" s="1"/>
  <c r="R10" i="2"/>
  <c r="B14" i="2" s="1"/>
  <c r="B18" i="2" l="1"/>
  <c r="B23" i="2" s="1"/>
  <c r="P10" i="4"/>
  <c r="B13" i="4" s="1"/>
  <c r="B18" i="4"/>
  <c r="B23" i="4" s="1"/>
  <c r="P10" i="3"/>
  <c r="B13" i="3" s="1"/>
  <c r="P10" i="2"/>
  <c r="B13" i="2" s="1"/>
  <c r="U6" i="1" l="1"/>
  <c r="T6" i="1"/>
  <c r="S6" i="1"/>
  <c r="N6" i="1"/>
  <c r="M6" i="1"/>
  <c r="U5" i="1"/>
  <c r="T5" i="1"/>
  <c r="S5" i="1"/>
  <c r="N5" i="1"/>
  <c r="M5" i="1"/>
  <c r="U4" i="1"/>
  <c r="T4" i="1"/>
  <c r="S4" i="1"/>
  <c r="N4" i="1"/>
  <c r="M4" i="1"/>
  <c r="U3" i="1"/>
  <c r="T3" i="1"/>
  <c r="S3" i="1"/>
  <c r="N3" i="1"/>
  <c r="M3" i="1"/>
  <c r="U2" i="1"/>
  <c r="T2" i="1"/>
  <c r="S2" i="1"/>
  <c r="S10" i="1" s="1"/>
  <c r="M2" i="1"/>
  <c r="O3" i="1" l="1"/>
  <c r="P3" i="1" s="1"/>
  <c r="B19" i="1" s="1"/>
  <c r="O4" i="1"/>
  <c r="P4" i="1" s="1"/>
  <c r="B20" i="1" s="1"/>
  <c r="A37" i="1"/>
  <c r="O5" i="1"/>
  <c r="P5" i="1" s="1"/>
  <c r="B21" i="1" s="1"/>
  <c r="A38" i="1"/>
  <c r="O6" i="1"/>
  <c r="P6" i="1" s="1"/>
  <c r="B22" i="1" s="1"/>
  <c r="A39" i="1"/>
  <c r="U10" i="1"/>
  <c r="P2" i="1"/>
  <c r="B18" i="1" s="1"/>
  <c r="T10" i="1"/>
  <c r="R10" i="1"/>
  <c r="B14" i="1" l="1"/>
  <c r="Q14" i="1"/>
  <c r="B23" i="1"/>
  <c r="B39" i="1"/>
  <c r="B40" i="1" s="1"/>
  <c r="B41" i="1" s="1"/>
  <c r="B35" i="1"/>
  <c r="O10" i="1"/>
  <c r="P10" i="1"/>
  <c r="B13" i="1" s="1"/>
</calcChain>
</file>

<file path=xl/sharedStrings.xml><?xml version="1.0" encoding="utf-8"?>
<sst xmlns="http://schemas.openxmlformats.org/spreadsheetml/2006/main" count="208" uniqueCount="72">
  <si>
    <t>Layer</t>
  </si>
  <si>
    <t>N</t>
  </si>
  <si>
    <t>M</t>
  </si>
  <si>
    <t>Rin</t>
  </si>
  <si>
    <t>Cin</t>
  </si>
  <si>
    <t>Rout</t>
  </si>
  <si>
    <t>Cout</t>
  </si>
  <si>
    <t>Kernel</t>
  </si>
  <si>
    <t xml:space="preserve"> Input Tile size</t>
  </si>
  <si>
    <t>kernel tile size</t>
  </si>
  <si>
    <t># times kernel</t>
  </si>
  <si>
    <t>#times Input</t>
  </si>
  <si>
    <t>#Ternary Compute</t>
  </si>
  <si>
    <t>#Luts</t>
  </si>
  <si>
    <t>#Intermediate Mem Bits</t>
  </si>
  <si>
    <t>#Input Memory 32 bit without tiling</t>
  </si>
  <si>
    <t>#kernel 32 bit</t>
  </si>
  <si>
    <t>Conv1</t>
  </si>
  <si>
    <t>Conv2</t>
  </si>
  <si>
    <t>Conv3</t>
  </si>
  <si>
    <t>Conv4</t>
  </si>
  <si>
    <t>Conv5</t>
  </si>
  <si>
    <t>Total(∑)</t>
  </si>
  <si>
    <t>∑</t>
  </si>
  <si>
    <t>Frequency</t>
  </si>
  <si>
    <t>TOPs</t>
  </si>
  <si>
    <t>%lut-l util</t>
  </si>
  <si>
    <t>%lut-m util</t>
  </si>
  <si>
    <t>DATA GIVEN</t>
  </si>
  <si>
    <t>LUT</t>
  </si>
  <si>
    <t>layer</t>
  </si>
  <si>
    <t>ESTIMATED% LUT</t>
  </si>
  <si>
    <t>REPORTED % LUT</t>
  </si>
  <si>
    <t>PE</t>
  </si>
  <si>
    <t xml:space="preserve">C1 </t>
  </si>
  <si>
    <t>C2</t>
  </si>
  <si>
    <t>C3</t>
  </si>
  <si>
    <t>C4</t>
  </si>
  <si>
    <t>C5</t>
  </si>
  <si>
    <t>Reported Memory %</t>
  </si>
  <si>
    <t>kernel+input</t>
  </si>
  <si>
    <t>Estimated Memory BRAM Util %</t>
  </si>
  <si>
    <t>#slices</t>
  </si>
  <si>
    <t>Kintex</t>
  </si>
  <si>
    <t>Zync</t>
  </si>
  <si>
    <t>Virtex</t>
  </si>
  <si>
    <t>excluding intermediate</t>
  </si>
  <si>
    <t>total</t>
  </si>
  <si>
    <t>#Input Memory(BRAMs)</t>
  </si>
  <si>
    <t>#Kernel BRAMs</t>
  </si>
  <si>
    <t>#brams(36 kb)</t>
  </si>
  <si>
    <t>#Input Memory(BRAMa)</t>
  </si>
  <si>
    <t>from vivdo</t>
  </si>
  <si>
    <t>REPORTED % Synthesised LUT</t>
  </si>
  <si>
    <t>REPORTED % Impl LUT</t>
  </si>
  <si>
    <t>synth clk</t>
  </si>
  <si>
    <t>impl clk</t>
  </si>
  <si>
    <t>power synth</t>
  </si>
  <si>
    <t>power impl</t>
  </si>
  <si>
    <t>REPORTED old % Synthesised LUT</t>
  </si>
  <si>
    <t xml:space="preserve">cycles for compute </t>
  </si>
  <si>
    <t>delay layer(cycles)</t>
  </si>
  <si>
    <t>initial delay cycles</t>
  </si>
  <si>
    <t>#cycles for last pixel</t>
  </si>
  <si>
    <t>ff synth</t>
  </si>
  <si>
    <t>ff impl</t>
  </si>
  <si>
    <t>bram: when 3x3 we need to multiply by factor of 0.5</t>
  </si>
  <si>
    <t>kernel 32 bit</t>
  </si>
  <si>
    <t>input 32 bit</t>
  </si>
  <si>
    <t>F</t>
  </si>
  <si>
    <t>P</t>
  </si>
  <si>
    <t>Artix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</si>
</sst>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Virtex!$B$17</c:f>
              <c:strCache>
                <c:ptCount val="1"/>
                <c:pt idx="0">
                  <c:v>ESTIMATED% 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Virtex!$A$18:$A$22</c:f>
              <c:strCache>
                <c:ptCount val="5"/>
                <c:pt idx="0">
                  <c:v>C1 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Virtex!$B$18:$B$22</c:f>
              <c:numCache>
                <c:formatCode>General</c:formatCode>
                <c:ptCount val="5"/>
                <c:pt idx="0">
                  <c:v>13.671910112359551</c:v>
                </c:pt>
                <c:pt idx="1">
                  <c:v>18.229213483146069</c:v>
                </c:pt>
                <c:pt idx="2">
                  <c:v>24.30561797752809</c:v>
                </c:pt>
                <c:pt idx="3">
                  <c:v>18.229213483146069</c:v>
                </c:pt>
                <c:pt idx="4">
                  <c:v>18.229213483146069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Virtex!$C$17</c:f>
              <c:strCache>
                <c:ptCount val="1"/>
                <c:pt idx="0">
                  <c:v>REPORTED % Synthesised LUT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Virtex!$A$18:$A$22</c:f>
              <c:strCache>
                <c:ptCount val="5"/>
                <c:pt idx="0">
                  <c:v>C1 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Virtex!$C$18:$C$23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377344"/>
        <c:axId val="-860371360"/>
      </c:lineChart>
      <c:catAx>
        <c:axId val="-8603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371360"/>
        <c:crosses val="autoZero"/>
        <c:auto val="1"/>
        <c:lblAlgn val="ctr"/>
        <c:lblOffset val="100"/>
        <c:noMultiLvlLbl val="0"/>
      </c:catAx>
      <c:valAx>
        <c:axId val="-8603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3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Estimated LUT vs Reported LUT (%)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Virtex!$B$17</c:f>
              <c:strCache>
                <c:ptCount val="1"/>
                <c:pt idx="0">
                  <c:v>ESTIMATED% LUT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Virtex!$A$18:$A$22</c:f>
              <c:strCache>
                <c:ptCount val="5"/>
                <c:pt idx="0">
                  <c:v>C1 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Virtex!$B$18:$B$22</c:f>
              <c:numCache>
                <c:formatCode>General</c:formatCode>
                <c:ptCount val="5"/>
                <c:pt idx="0">
                  <c:v>13.671910112359551</c:v>
                </c:pt>
                <c:pt idx="1">
                  <c:v>18.229213483146069</c:v>
                </c:pt>
                <c:pt idx="2">
                  <c:v>24.30561797752809</c:v>
                </c:pt>
                <c:pt idx="3">
                  <c:v>18.229213483146069</c:v>
                </c:pt>
                <c:pt idx="4">
                  <c:v>18.229213483146069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Virtex!$D$17</c:f>
              <c:strCache>
                <c:ptCount val="1"/>
                <c:pt idx="0">
                  <c:v>REPORTED % Impl LUT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Virtex!$A$18:$A$22</c:f>
              <c:strCache>
                <c:ptCount val="5"/>
                <c:pt idx="0">
                  <c:v>C1 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Virtex!$D$18:$D$22</c:f>
              <c:numCache>
                <c:formatCode>General</c:formatCode>
                <c:ptCount val="5"/>
                <c:pt idx="0">
                  <c:v>13.227106741573033</c:v>
                </c:pt>
                <c:pt idx="1">
                  <c:v>17.631320224719101</c:v>
                </c:pt>
                <c:pt idx="2">
                  <c:v>23.509971910112359</c:v>
                </c:pt>
                <c:pt idx="3">
                  <c:v>17.631320224719101</c:v>
                </c:pt>
                <c:pt idx="4">
                  <c:v>18.229213483146069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378976"/>
        <c:axId val="-860369728"/>
      </c:lineChart>
      <c:catAx>
        <c:axId val="-8603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Convolution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369728"/>
        <c:crosses val="autoZero"/>
        <c:auto val="1"/>
        <c:lblAlgn val="ctr"/>
        <c:lblOffset val="100"/>
        <c:noMultiLvlLbl val="0"/>
      </c:catAx>
      <c:valAx>
        <c:axId val="-8603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Utilization(LUT)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3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23</xdr:row>
      <xdr:rowOff>176212</xdr:rowOff>
    </xdr:from>
    <xdr:to>
      <xdr:col>5</xdr:col>
      <xdr:colOff>1571625</xdr:colOff>
      <xdr:row>38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26</xdr:row>
      <xdr:rowOff>52387</xdr:rowOff>
    </xdr:from>
    <xdr:to>
      <xdr:col>4</xdr:col>
      <xdr:colOff>590550</xdr:colOff>
      <xdr:row>40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31.85546875" style="3" bestFit="1" customWidth="1"/>
    <col min="5" max="5" width="23.140625" style="3" customWidth="1"/>
    <col min="6" max="6" width="29.7109375" style="3" bestFit="1" customWidth="1"/>
    <col min="7" max="7" width="19.42578125" style="3" bestFit="1" customWidth="1"/>
    <col min="8" max="8" width="12" style="3" bestFit="1" customWidth="1"/>
    <col min="9" max="9" width="11.140625" style="3" bestFit="1" customWidth="1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11.5703125" style="3" bestFit="1" customWidth="1"/>
    <col min="19" max="19" width="22.85546875" style="3" bestFit="1" customWidth="1"/>
    <col min="20" max="20" width="22.42578125" style="3" bestFit="1" customWidth="1"/>
    <col min="21" max="21" width="11" style="3" bestFit="1" customWidth="1"/>
    <col min="22" max="22" width="12" style="3" bestFit="1" customWidth="1"/>
    <col min="23" max="16384" width="9.140625" style="3"/>
  </cols>
  <sheetData>
    <row r="1" spans="1:23" x14ac:dyDescent="0.25">
      <c r="A1" s="1" t="s">
        <v>0</v>
      </c>
      <c r="B1" s="2" t="s">
        <v>1</v>
      </c>
      <c r="C1" s="2" t="s">
        <v>2</v>
      </c>
      <c r="D1" s="2" t="s">
        <v>69</v>
      </c>
      <c r="E1" s="2" t="s">
        <v>70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48</v>
      </c>
      <c r="R1" s="2" t="s">
        <v>49</v>
      </c>
      <c r="S1" s="3" t="s">
        <v>14</v>
      </c>
      <c r="T1" s="3" t="s">
        <v>15</v>
      </c>
      <c r="U1" s="3" t="s">
        <v>16</v>
      </c>
      <c r="V1" s="3" t="s">
        <v>67</v>
      </c>
      <c r="W1" s="3" t="s">
        <v>68</v>
      </c>
    </row>
    <row r="2" spans="1:23" x14ac:dyDescent="0.25">
      <c r="A2" s="4" t="s">
        <v>17</v>
      </c>
      <c r="B2" s="5">
        <v>3</v>
      </c>
      <c r="C2" s="5">
        <v>96</v>
      </c>
      <c r="D2" s="5">
        <v>1</v>
      </c>
      <c r="E2" s="5">
        <v>16</v>
      </c>
      <c r="F2" s="5">
        <v>224</v>
      </c>
      <c r="G2" s="5">
        <v>224</v>
      </c>
      <c r="H2" s="5">
        <v>55</v>
      </c>
      <c r="I2" s="5">
        <v>55</v>
      </c>
      <c r="J2" s="5">
        <v>12</v>
      </c>
      <c r="K2" s="5">
        <v>3</v>
      </c>
      <c r="L2" s="5">
        <v>3</v>
      </c>
      <c r="M2" s="5">
        <f>POWER(_xlfn.CEILING.MATH(J2/L2),2)</f>
        <v>16</v>
      </c>
      <c r="N2" s="5">
        <f>POWER(_xlfn.CEILING.MATH(F2/4),2)</f>
        <v>3136</v>
      </c>
      <c r="O2" s="5">
        <f>B2*C2*K2*K2*M2/(D2*E2)</f>
        <v>2592</v>
      </c>
      <c r="P2" s="5">
        <f>D12*O2/9</f>
        <v>97344</v>
      </c>
      <c r="Q2" s="5">
        <f>0.5*J2*_xlfn.CEILING.MATH(B2/4)</f>
        <v>6</v>
      </c>
      <c r="R2" s="5">
        <f>(_xlfn.CEILING.MATH((J2*J2*2)/72))*B2*C2/E2</f>
        <v>72</v>
      </c>
      <c r="S2" s="3">
        <f>B2*L2*L2*8</f>
        <v>216</v>
      </c>
      <c r="T2" s="3">
        <f>B2*F2*G2*32</f>
        <v>4816896</v>
      </c>
      <c r="U2" s="3">
        <f>J2*J2*B2*C2*32</f>
        <v>1327104</v>
      </c>
      <c r="V2" s="5">
        <f>(_xlfn.CEILING.MATH((J2*J2*32)/72))*B2*C2/E2</f>
        <v>1152</v>
      </c>
      <c r="W2" s="3">
        <f>0.5*J2*_xlfn.CEILING.MATH(B2/4)</f>
        <v>6</v>
      </c>
    </row>
    <row r="3" spans="1:23" x14ac:dyDescent="0.25">
      <c r="A3" s="4" t="s">
        <v>18</v>
      </c>
      <c r="B3" s="5">
        <v>48</v>
      </c>
      <c r="C3" s="5">
        <v>256</v>
      </c>
      <c r="D3" s="5">
        <v>1</v>
      </c>
      <c r="E3" s="5">
        <v>128</v>
      </c>
      <c r="F3" s="5">
        <v>27</v>
      </c>
      <c r="G3" s="5">
        <v>27</v>
      </c>
      <c r="H3" s="5">
        <v>27</v>
      </c>
      <c r="I3" s="5">
        <v>27</v>
      </c>
      <c r="J3" s="5">
        <v>6</v>
      </c>
      <c r="K3" s="5">
        <v>3</v>
      </c>
      <c r="L3" s="5">
        <v>3</v>
      </c>
      <c r="M3" s="5">
        <f>POWER(_xlfn.CEILING.MATH(J3/L3),2)</f>
        <v>4</v>
      </c>
      <c r="N3" s="5">
        <f>F3*G3</f>
        <v>729</v>
      </c>
      <c r="O3" s="5">
        <f>B3*C3*K3*K3*M3/(D3*E3)</f>
        <v>3456</v>
      </c>
      <c r="P3" s="5">
        <f>D12*O3/9</f>
        <v>129792</v>
      </c>
      <c r="Q3" s="5">
        <f>0.5*J3*_xlfn.CEILING.MATH(B3/4)</f>
        <v>36</v>
      </c>
      <c r="R3" s="5">
        <f>0.5*(_xlfn.CEILING.MATH((J3*J3*2)/72))*B3*C3/E3</f>
        <v>48</v>
      </c>
      <c r="S3" s="3">
        <f>B3*L3*L3*8</f>
        <v>3456</v>
      </c>
      <c r="T3" s="3">
        <f>B3*F3*G3*32</f>
        <v>1119744</v>
      </c>
      <c r="U3" s="3">
        <f>J3*J3*B3*C3*32</f>
        <v>14155776</v>
      </c>
      <c r="V3" s="5">
        <f>0.5*(_xlfn.CEILING.MATH((J3*J3*32)/72))*B3*C3/E3</f>
        <v>768</v>
      </c>
      <c r="W3" s="3">
        <f t="shared" ref="W3:W6" si="0">0.5*J3*_xlfn.CEILING.MATH(B3/4)</f>
        <v>36</v>
      </c>
    </row>
    <row r="4" spans="1:23" x14ac:dyDescent="0.25">
      <c r="A4" s="4" t="s">
        <v>19</v>
      </c>
      <c r="B4" s="5">
        <v>256</v>
      </c>
      <c r="C4" s="5">
        <v>384</v>
      </c>
      <c r="D4" s="5">
        <v>1</v>
      </c>
      <c r="E4" s="5">
        <v>192</v>
      </c>
      <c r="F4" s="5">
        <v>13</v>
      </c>
      <c r="G4" s="5">
        <v>13</v>
      </c>
      <c r="H4" s="5">
        <v>13</v>
      </c>
      <c r="I4" s="5">
        <v>13</v>
      </c>
      <c r="J4" s="5">
        <v>3</v>
      </c>
      <c r="K4" s="5">
        <v>3</v>
      </c>
      <c r="L4" s="5">
        <v>3</v>
      </c>
      <c r="M4" s="5">
        <f>POWER(_xlfn.CEILING.MATH(J4/L4),2)</f>
        <v>1</v>
      </c>
      <c r="N4" s="5">
        <f>F4*G4</f>
        <v>169</v>
      </c>
      <c r="O4" s="5">
        <f>B4*C4*K4*K4*M4/(D4*E4)</f>
        <v>4608</v>
      </c>
      <c r="P4" s="5">
        <f>D12*O4/9</f>
        <v>173056</v>
      </c>
      <c r="Q4" s="5">
        <f>0.5*J4*_xlfn.CEILING.MATH(B4/4)</f>
        <v>96</v>
      </c>
      <c r="R4" s="5">
        <f>0.5*(_xlfn.CEILING.MATH((J4*J4*2)/72))*B4*C4/(E4*4)</f>
        <v>64</v>
      </c>
      <c r="S4" s="3">
        <f>B4*L4*L4*8</f>
        <v>18432</v>
      </c>
      <c r="T4" s="3">
        <f>B4*F4*G4*32</f>
        <v>1384448</v>
      </c>
      <c r="U4" s="3">
        <f>J4*J4*B4*C4*32</f>
        <v>28311552</v>
      </c>
      <c r="V4" s="5">
        <f t="shared" ref="V4:V6" si="1">0.5*(_xlfn.CEILING.MATH((J4*J4*32)/72))*B4*C4/E4</f>
        <v>1024</v>
      </c>
      <c r="W4" s="3">
        <f t="shared" si="0"/>
        <v>96</v>
      </c>
    </row>
    <row r="5" spans="1:23" x14ac:dyDescent="0.25">
      <c r="A5" s="4" t="s">
        <v>20</v>
      </c>
      <c r="B5" s="5">
        <v>192</v>
      </c>
      <c r="C5" s="5">
        <v>384</v>
      </c>
      <c r="D5" s="5">
        <v>1</v>
      </c>
      <c r="E5" s="5">
        <v>192</v>
      </c>
      <c r="F5" s="5">
        <v>13</v>
      </c>
      <c r="G5" s="5">
        <v>13</v>
      </c>
      <c r="H5" s="5">
        <v>13</v>
      </c>
      <c r="I5" s="5">
        <v>13</v>
      </c>
      <c r="J5" s="5">
        <v>3</v>
      </c>
      <c r="K5" s="5">
        <v>3</v>
      </c>
      <c r="L5" s="5">
        <v>3</v>
      </c>
      <c r="M5" s="5">
        <f>POWER(_xlfn.CEILING.MATH(J5/L5),2)</f>
        <v>1</v>
      </c>
      <c r="N5" s="5">
        <f>F5*G5</f>
        <v>169</v>
      </c>
      <c r="O5" s="5">
        <f>B5*C5*K5*K5*M5/(D5*E5)</f>
        <v>3456</v>
      </c>
      <c r="P5" s="5">
        <f>D12*O5/9</f>
        <v>129792</v>
      </c>
      <c r="Q5" s="5">
        <f>0.5*J5*_xlfn.CEILING.MATH(B5/4)</f>
        <v>72</v>
      </c>
      <c r="R5" s="5">
        <f>0.5*(_xlfn.CEILING.MATH((J5*J5*2)/72))*B5*C5/(E5*4)</f>
        <v>48</v>
      </c>
      <c r="S5" s="3">
        <f>B5*L5*L5*8</f>
        <v>13824</v>
      </c>
      <c r="T5" s="3">
        <f>B5*F5*G5*32</f>
        <v>1038336</v>
      </c>
      <c r="U5" s="3">
        <f>J5*J5*B5*C5*32</f>
        <v>21233664</v>
      </c>
      <c r="V5" s="5">
        <f t="shared" si="1"/>
        <v>768</v>
      </c>
      <c r="W5" s="3">
        <f t="shared" si="0"/>
        <v>72</v>
      </c>
    </row>
    <row r="6" spans="1:23" x14ac:dyDescent="0.25">
      <c r="A6" s="4" t="s">
        <v>21</v>
      </c>
      <c r="B6" s="5">
        <v>192</v>
      </c>
      <c r="C6" s="5">
        <v>256</v>
      </c>
      <c r="D6" s="5">
        <v>1</v>
      </c>
      <c r="E6" s="5">
        <v>128</v>
      </c>
      <c r="F6" s="5">
        <v>13</v>
      </c>
      <c r="G6" s="5">
        <v>13</v>
      </c>
      <c r="H6" s="5">
        <v>13</v>
      </c>
      <c r="I6" s="5">
        <v>13</v>
      </c>
      <c r="J6" s="5">
        <v>3</v>
      </c>
      <c r="K6" s="5">
        <v>3</v>
      </c>
      <c r="L6" s="5">
        <v>3</v>
      </c>
      <c r="M6" s="5">
        <f>POWER(_xlfn.CEILING.MATH(J6/L6),2)</f>
        <v>1</v>
      </c>
      <c r="N6" s="5">
        <f>F6*G6</f>
        <v>169</v>
      </c>
      <c r="O6" s="5">
        <f>B6*C6*K6*K6*M6/(D6*E6)</f>
        <v>3456</v>
      </c>
      <c r="P6" s="5">
        <f>D12*O6/9</f>
        <v>129792</v>
      </c>
      <c r="Q6" s="5">
        <f>0.5*J6*_xlfn.CEILING.MATH(B6/4)</f>
        <v>72</v>
      </c>
      <c r="R6" s="5">
        <f>0.5*(_xlfn.CEILING.MATH((J6*J6*2)/72))*B6*C6/(E6*4)</f>
        <v>48</v>
      </c>
      <c r="S6" s="3">
        <f>B6*L6*L6*8</f>
        <v>13824</v>
      </c>
      <c r="T6" s="3">
        <f>B6*F6*G6*32</f>
        <v>1038336</v>
      </c>
      <c r="U6" s="3">
        <f>J6*J6*B6*C6*32</f>
        <v>14155776</v>
      </c>
      <c r="V6" s="5">
        <f t="shared" si="1"/>
        <v>768</v>
      </c>
      <c r="W6" s="3">
        <f t="shared" si="0"/>
        <v>72</v>
      </c>
    </row>
    <row r="7" spans="1:23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23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23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23" ht="15.75" thickBot="1" x14ac:dyDescent="0.3">
      <c r="A10" s="6" t="s">
        <v>22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23</v>
      </c>
      <c r="O10" s="7">
        <f>SUM(O2:O6)</f>
        <v>17568</v>
      </c>
      <c r="P10" s="7">
        <f>SUM(P2:P6)</f>
        <v>659776</v>
      </c>
      <c r="Q10" s="7">
        <f>SUM(Q2:Q9)</f>
        <v>282</v>
      </c>
      <c r="R10" s="7">
        <f>SUM(R2:R9)</f>
        <v>280</v>
      </c>
      <c r="S10" s="3">
        <f>SUM(S2:S6)</f>
        <v>49752</v>
      </c>
      <c r="T10" s="3">
        <f>SUM(T2:T9)</f>
        <v>9397760</v>
      </c>
      <c r="U10" s="3">
        <f>SUM(U2:U9)</f>
        <v>79183872</v>
      </c>
      <c r="V10" s="3">
        <f>SUM(V2:V6)</f>
        <v>4480</v>
      </c>
    </row>
    <row r="11" spans="1:23" x14ac:dyDescent="0.25">
      <c r="A11" s="3" t="s">
        <v>24</v>
      </c>
      <c r="B11" s="3">
        <v>391696000</v>
      </c>
      <c r="C11" s="14" t="s">
        <v>28</v>
      </c>
      <c r="D11" s="15" t="s">
        <v>29</v>
      </c>
      <c r="E11" s="16" t="s">
        <v>45</v>
      </c>
      <c r="F11" s="17"/>
    </row>
    <row r="12" spans="1:23" x14ac:dyDescent="0.25">
      <c r="A12" s="3" t="s">
        <v>25</v>
      </c>
      <c r="B12" s="3">
        <f>2*O10*B11/1000000000000</f>
        <v>13.762630656000001</v>
      </c>
      <c r="C12" s="18" t="s">
        <v>33</v>
      </c>
      <c r="D12" s="13">
        <v>338</v>
      </c>
      <c r="E12" s="11" t="s">
        <v>42</v>
      </c>
      <c r="F12" s="19">
        <v>178000</v>
      </c>
    </row>
    <row r="13" spans="1:23" ht="15.75" thickBot="1" x14ac:dyDescent="0.3">
      <c r="A13" s="3" t="s">
        <v>26</v>
      </c>
      <c r="B13" s="3">
        <f>(P10/(F12*4))*100</f>
        <v>92.665168539325833</v>
      </c>
      <c r="C13" s="6"/>
      <c r="D13" s="7">
        <v>176</v>
      </c>
      <c r="E13" s="22" t="s">
        <v>50</v>
      </c>
      <c r="F13" s="23">
        <v>1880</v>
      </c>
    </row>
    <row r="14" spans="1:23" x14ac:dyDescent="0.25">
      <c r="A14" s="3" t="s">
        <v>27</v>
      </c>
      <c r="B14" s="3">
        <f>(Q10+R10)*100/( F13)</f>
        <v>29.893617021276597</v>
      </c>
      <c r="Q14" s="3">
        <f>Q10+R10</f>
        <v>562</v>
      </c>
      <c r="V14" s="3">
        <f>(V10-R10)/V10</f>
        <v>0.9375</v>
      </c>
    </row>
    <row r="15" spans="1:23" x14ac:dyDescent="0.25">
      <c r="Q15" s="3" t="s">
        <v>66</v>
      </c>
    </row>
    <row r="16" spans="1:23" x14ac:dyDescent="0.25">
      <c r="E16" s="3" t="s">
        <v>40</v>
      </c>
    </row>
    <row r="17" spans="1:12" x14ac:dyDescent="0.25">
      <c r="A17" s="9" t="s">
        <v>30</v>
      </c>
      <c r="B17" s="9" t="s">
        <v>31</v>
      </c>
      <c r="C17" s="9" t="s">
        <v>53</v>
      </c>
      <c r="D17" s="9" t="s">
        <v>54</v>
      </c>
      <c r="E17" s="9" t="s">
        <v>41</v>
      </c>
      <c r="F17" s="9" t="s">
        <v>39</v>
      </c>
      <c r="G17" s="9" t="s">
        <v>57</v>
      </c>
      <c r="H17" s="9" t="s">
        <v>58</v>
      </c>
      <c r="I17" s="9" t="s">
        <v>55</v>
      </c>
      <c r="J17" s="9" t="s">
        <v>56</v>
      </c>
      <c r="K17" s="9" t="s">
        <v>64</v>
      </c>
      <c r="L17" s="9" t="s">
        <v>65</v>
      </c>
    </row>
    <row r="18" spans="1:12" x14ac:dyDescent="0.25">
      <c r="A18" s="9" t="s">
        <v>34</v>
      </c>
      <c r="B18" s="9">
        <f>P2*100/(F12*4)</f>
        <v>13.671910112359551</v>
      </c>
      <c r="C18" s="9"/>
      <c r="D18" s="9">
        <f>9417700/(F12*4)</f>
        <v>13.227106741573033</v>
      </c>
      <c r="E18" s="9">
        <f>(Q2+R2)*100/( F13)</f>
        <v>4.1489361702127656</v>
      </c>
      <c r="F18" s="9">
        <v>4.0999999999999996</v>
      </c>
      <c r="G18" s="9">
        <v>5.65</v>
      </c>
      <c r="H18" s="9">
        <v>4.4130000000000003</v>
      </c>
      <c r="I18" s="9">
        <v>453.30900000000003</v>
      </c>
      <c r="J18" s="9">
        <v>353.233</v>
      </c>
      <c r="K18" s="9">
        <v>5.42</v>
      </c>
      <c r="L18" s="9">
        <v>5.42</v>
      </c>
    </row>
    <row r="19" spans="1:12" x14ac:dyDescent="0.25">
      <c r="A19" s="9" t="s">
        <v>35</v>
      </c>
      <c r="B19" s="9">
        <f>P3*100/(F12*4)</f>
        <v>18.229213483146069</v>
      </c>
      <c r="C19" s="9"/>
      <c r="D19" s="9">
        <f>12553500/(F12*4)</f>
        <v>17.631320224719101</v>
      </c>
      <c r="E19" s="9">
        <f>(Q3+R3)*100/( F13)</f>
        <v>4.4680851063829783</v>
      </c>
      <c r="F19" s="9">
        <v>7</v>
      </c>
      <c r="G19" s="9">
        <v>6.2320000000000002</v>
      </c>
      <c r="H19" s="9">
        <v>3.9239999999999999</v>
      </c>
      <c r="I19" s="9">
        <v>453.30900000000003</v>
      </c>
      <c r="J19" s="9">
        <v>377.50099999999998</v>
      </c>
      <c r="K19" s="9">
        <v>5.93</v>
      </c>
      <c r="L19" s="9">
        <v>5.93</v>
      </c>
    </row>
    <row r="20" spans="1:12" x14ac:dyDescent="0.25">
      <c r="A20" s="9" t="s">
        <v>36</v>
      </c>
      <c r="B20" s="9">
        <f>P4*100/(F12*4)</f>
        <v>24.30561797752809</v>
      </c>
      <c r="C20" s="9"/>
      <c r="D20" s="9">
        <f>16739100/(F12*4)</f>
        <v>23.509971910112359</v>
      </c>
      <c r="E20" s="9">
        <f>(Q4+R4)*100/( F13)</f>
        <v>8.5106382978723403</v>
      </c>
      <c r="F20" s="9">
        <v>20.2</v>
      </c>
      <c r="G20" s="9">
        <v>22.779</v>
      </c>
      <c r="H20" s="9">
        <v>9.7409999999999997</v>
      </c>
      <c r="I20" s="9">
        <v>453.30900000000003</v>
      </c>
      <c r="J20" s="9">
        <v>143.12299999999999</v>
      </c>
      <c r="K20" s="9">
        <v>28.9</v>
      </c>
      <c r="L20" s="9">
        <v>28.9</v>
      </c>
    </row>
    <row r="21" spans="1:12" x14ac:dyDescent="0.25">
      <c r="A21" s="9" t="s">
        <v>37</v>
      </c>
      <c r="B21" s="9">
        <f>P5*100/(F12*4)</f>
        <v>18.229213483146069</v>
      </c>
      <c r="C21" s="9"/>
      <c r="D21" s="9">
        <f>12553500/(F12*4)</f>
        <v>17.631320224719101</v>
      </c>
      <c r="E21" s="9">
        <f>(Q5+R5)*100/( F13)</f>
        <v>6.3829787234042552</v>
      </c>
      <c r="F21" s="9">
        <v>19.100000000000001</v>
      </c>
      <c r="G21" s="9">
        <v>17.346</v>
      </c>
      <c r="H21" s="9"/>
      <c r="I21" s="9">
        <v>453.30900000000003</v>
      </c>
      <c r="J21" s="9"/>
      <c r="K21" s="9">
        <v>21.67</v>
      </c>
      <c r="L21" s="9"/>
    </row>
    <row r="22" spans="1:12" x14ac:dyDescent="0.25">
      <c r="A22" s="9" t="s">
        <v>38</v>
      </c>
      <c r="B22" s="9">
        <f>P6*100/(F12*4)</f>
        <v>18.229213483146069</v>
      </c>
      <c r="C22" s="9"/>
      <c r="D22" s="9">
        <f>12979200/(F12*4)</f>
        <v>18.229213483146069</v>
      </c>
      <c r="E22" s="9">
        <f>(Q6+R6)*100/( F13)</f>
        <v>6.3829787234042552</v>
      </c>
      <c r="F22" s="9"/>
      <c r="G22" s="9">
        <v>12.776999999999999</v>
      </c>
      <c r="H22" s="9">
        <v>7.242</v>
      </c>
      <c r="I22" s="9">
        <v>453.30900000000003</v>
      </c>
      <c r="J22" s="9">
        <v>225.22499999999999</v>
      </c>
      <c r="K22" s="9">
        <v>14.77</v>
      </c>
      <c r="L22" s="9">
        <v>14.77</v>
      </c>
    </row>
    <row r="23" spans="1:12" x14ac:dyDescent="0.25">
      <c r="A23" s="25" t="s">
        <v>47</v>
      </c>
      <c r="B23" s="25">
        <f>SUM(B18:B22)</f>
        <v>92.665168539325848</v>
      </c>
      <c r="C23" s="25"/>
      <c r="D23" s="25">
        <f>SUM(D18:D22)</f>
        <v>90.228932584269671</v>
      </c>
      <c r="E23" s="25">
        <f>SUM(E18:E22)</f>
        <v>29.893617021276597</v>
      </c>
      <c r="F23" s="25"/>
      <c r="G23" s="25"/>
      <c r="H23" s="25"/>
      <c r="I23" s="25"/>
      <c r="J23" s="25"/>
      <c r="K23" s="25">
        <f>SUM(K18:K22)</f>
        <v>76.69</v>
      </c>
      <c r="L23" s="25">
        <f>SUM(L18:L22)</f>
        <v>55.019999999999996</v>
      </c>
    </row>
    <row r="26" spans="1:12" x14ac:dyDescent="0.25">
      <c r="A26" s="24" t="s">
        <v>59</v>
      </c>
      <c r="B26" s="3" t="s">
        <v>60</v>
      </c>
    </row>
    <row r="27" spans="1:12" x14ac:dyDescent="0.25">
      <c r="A27" s="24">
        <v>5.058146067</v>
      </c>
      <c r="B27" s="3">
        <v>1</v>
      </c>
    </row>
    <row r="28" spans="1:12" x14ac:dyDescent="0.25">
      <c r="A28" s="24">
        <v>7.333848315</v>
      </c>
    </row>
    <row r="29" spans="1:12" x14ac:dyDescent="0.25">
      <c r="A29" s="24">
        <v>28.657022470000001</v>
      </c>
    </row>
    <row r="30" spans="1:12" x14ac:dyDescent="0.25">
      <c r="A30" s="24">
        <v>20.037640450000001</v>
      </c>
    </row>
    <row r="31" spans="1:12" x14ac:dyDescent="0.25">
      <c r="A31" s="24">
        <v>19.995505619999999</v>
      </c>
    </row>
    <row r="32" spans="1:12" x14ac:dyDescent="0.25">
      <c r="A32" s="24">
        <f>SUM(A27:A31)</f>
        <v>81.082162922000009</v>
      </c>
    </row>
    <row r="34" spans="1:2" x14ac:dyDescent="0.25">
      <c r="A34" s="3" t="s">
        <v>61</v>
      </c>
      <c r="B34" s="3" t="s">
        <v>62</v>
      </c>
    </row>
    <row r="35" spans="1:2" x14ac:dyDescent="0.25">
      <c r="A35" s="3">
        <f>D2*E2*B27</f>
        <v>16</v>
      </c>
      <c r="B35" s="3">
        <f>A35*((F2*2)+3)</f>
        <v>7216</v>
      </c>
    </row>
    <row r="36" spans="1:2" x14ac:dyDescent="0.25">
      <c r="A36" s="3">
        <f>D3*E3*B27</f>
        <v>128</v>
      </c>
    </row>
    <row r="37" spans="1:2" x14ac:dyDescent="0.25">
      <c r="A37" s="3">
        <f>D4*E4*M4*B27</f>
        <v>192</v>
      </c>
    </row>
    <row r="38" spans="1:2" x14ac:dyDescent="0.25">
      <c r="A38" s="3">
        <f>D5*E5*M5*B27</f>
        <v>192</v>
      </c>
    </row>
    <row r="39" spans="1:2" x14ac:dyDescent="0.25">
      <c r="A39" s="3">
        <f>D6*E6*M6*B27</f>
        <v>128</v>
      </c>
      <c r="B39" s="3">
        <f>SUM(A35:A39)</f>
        <v>656</v>
      </c>
    </row>
    <row r="40" spans="1:2" x14ac:dyDescent="0.25">
      <c r="A40" s="3" t="s">
        <v>63</v>
      </c>
      <c r="B40" s="3">
        <f>(N2*A35)+(B39)</f>
        <v>50832</v>
      </c>
    </row>
    <row r="41" spans="1:2" x14ac:dyDescent="0.25">
      <c r="B41" s="3">
        <f>B40*1000/B11</f>
        <v>0.12977411053470039</v>
      </c>
    </row>
  </sheetData>
  <conditionalFormatting sqref="M1:O1">
    <cfRule type="duplicateValues" dxfId="3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69</v>
      </c>
      <c r="E1" s="2" t="s">
        <v>70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51</v>
      </c>
      <c r="R1" s="2" t="s">
        <v>49</v>
      </c>
      <c r="S1" s="3" t="s">
        <v>14</v>
      </c>
    </row>
    <row r="2" spans="1:19" x14ac:dyDescent="0.25">
      <c r="A2" s="4" t="s">
        <v>17</v>
      </c>
      <c r="B2" s="5">
        <v>3</v>
      </c>
      <c r="C2" s="5">
        <v>96</v>
      </c>
      <c r="D2" s="5">
        <v>1</v>
      </c>
      <c r="E2" s="5">
        <v>96</v>
      </c>
      <c r="F2" s="5">
        <v>224</v>
      </c>
      <c r="G2" s="5">
        <v>224</v>
      </c>
      <c r="H2" s="5">
        <v>55</v>
      </c>
      <c r="I2" s="5">
        <v>55</v>
      </c>
      <c r="J2" s="5">
        <v>12</v>
      </c>
      <c r="K2" s="5">
        <v>3</v>
      </c>
      <c r="L2" s="5">
        <v>3</v>
      </c>
      <c r="M2" s="5">
        <f>POWER(_xlfn.CEILING.MATH(J2/L2),2)</f>
        <v>16</v>
      </c>
      <c r="N2" s="5">
        <f>POWER(_xlfn.CEILING.MATH(F2/4),2)</f>
        <v>3136</v>
      </c>
      <c r="O2" s="5">
        <f>B2*C2*K2*K2*M2/(D2*E2)</f>
        <v>432</v>
      </c>
      <c r="P2" s="5">
        <f>D12*O2/9</f>
        <v>16224</v>
      </c>
      <c r="Q2" s="5">
        <f>0.5*J2*_xlfn.CEILING.MATH(B2/(4*D2))</f>
        <v>6</v>
      </c>
      <c r="R2" s="5">
        <f>(_xlfn.CEILING.MATH((J2*J2*2)/72))*B2*C2/(E2*D2)</f>
        <v>12</v>
      </c>
      <c r="S2" s="3">
        <f>B2*L2*L2*8</f>
        <v>216</v>
      </c>
    </row>
    <row r="3" spans="1:19" x14ac:dyDescent="0.25">
      <c r="A3" s="4" t="s">
        <v>18</v>
      </c>
      <c r="B3" s="5">
        <v>48</v>
      </c>
      <c r="C3" s="5">
        <v>256</v>
      </c>
      <c r="D3" s="5">
        <v>1</v>
      </c>
      <c r="E3" s="5">
        <v>256</v>
      </c>
      <c r="F3" s="5">
        <v>27</v>
      </c>
      <c r="G3" s="5">
        <v>27</v>
      </c>
      <c r="H3" s="5">
        <v>27</v>
      </c>
      <c r="I3" s="5">
        <v>27</v>
      </c>
      <c r="J3" s="5">
        <v>6</v>
      </c>
      <c r="K3" s="5">
        <v>3</v>
      </c>
      <c r="L3" s="5">
        <v>3</v>
      </c>
      <c r="M3" s="5">
        <f>POWER(_xlfn.CEILING.MATH(J3/L3),2)</f>
        <v>4</v>
      </c>
      <c r="N3" s="5">
        <f>F3*G3</f>
        <v>729</v>
      </c>
      <c r="O3" s="5">
        <f>B3*C3*K3*K3*M3/(D3*E3)</f>
        <v>1728</v>
      </c>
      <c r="P3" s="5">
        <f>D12*O3/9</f>
        <v>64896</v>
      </c>
      <c r="Q3" s="5">
        <f t="shared" ref="Q3:Q6" si="0">0.5*J3*_xlfn.CEILING.MATH(B3/(4*D3))</f>
        <v>36</v>
      </c>
      <c r="R3" s="5">
        <f>0.5*(_xlfn.CEILING.MATH((J3*J3*2)/72))*B3*C3/(E3*D3)</f>
        <v>24</v>
      </c>
      <c r="S3" s="3">
        <f>B3*L3*L3*8</f>
        <v>3456</v>
      </c>
    </row>
    <row r="4" spans="1:19" x14ac:dyDescent="0.25">
      <c r="A4" s="4" t="s">
        <v>19</v>
      </c>
      <c r="B4" s="5">
        <v>256</v>
      </c>
      <c r="C4" s="5">
        <v>384</v>
      </c>
      <c r="D4" s="5">
        <v>1</v>
      </c>
      <c r="E4" s="5">
        <v>384</v>
      </c>
      <c r="F4" s="5">
        <v>13</v>
      </c>
      <c r="G4" s="5">
        <v>13</v>
      </c>
      <c r="H4" s="5">
        <v>13</v>
      </c>
      <c r="I4" s="5">
        <v>13</v>
      </c>
      <c r="J4" s="5">
        <v>3</v>
      </c>
      <c r="K4" s="5">
        <v>3</v>
      </c>
      <c r="L4" s="5">
        <v>3</v>
      </c>
      <c r="M4" s="5">
        <f>POWER(_xlfn.CEILING.MATH(J4/L4),2)</f>
        <v>1</v>
      </c>
      <c r="N4" s="5">
        <f>F4*G4</f>
        <v>169</v>
      </c>
      <c r="O4" s="5">
        <f>B4*C4*K4*K4*M4/(D4*E4)</f>
        <v>2304</v>
      </c>
      <c r="P4" s="5">
        <f>D12*O4/9</f>
        <v>86528</v>
      </c>
      <c r="Q4" s="5">
        <f t="shared" si="0"/>
        <v>96</v>
      </c>
      <c r="R4" s="5">
        <f t="shared" ref="R4:R6" si="1">0.5*(_xlfn.CEILING.MATH((J4*J4*2)/72))*B4*C4/(E4*D4)</f>
        <v>128</v>
      </c>
      <c r="S4" s="3">
        <f>B4*L4*L4*8</f>
        <v>18432</v>
      </c>
    </row>
    <row r="5" spans="1:19" x14ac:dyDescent="0.25">
      <c r="A5" s="4" t="s">
        <v>20</v>
      </c>
      <c r="B5" s="5">
        <v>192</v>
      </c>
      <c r="C5" s="5">
        <v>384</v>
      </c>
      <c r="D5" s="5">
        <v>1</v>
      </c>
      <c r="E5" s="5">
        <v>384</v>
      </c>
      <c r="F5" s="5">
        <v>13</v>
      </c>
      <c r="G5" s="5">
        <v>13</v>
      </c>
      <c r="H5" s="5">
        <v>13</v>
      </c>
      <c r="I5" s="5">
        <v>13</v>
      </c>
      <c r="J5" s="5">
        <v>3</v>
      </c>
      <c r="K5" s="5">
        <v>3</v>
      </c>
      <c r="L5" s="5">
        <v>3</v>
      </c>
      <c r="M5" s="5">
        <f>POWER(_xlfn.CEILING.MATH(J5/L5),2)</f>
        <v>1</v>
      </c>
      <c r="N5" s="5">
        <f>F5*G5</f>
        <v>169</v>
      </c>
      <c r="O5" s="5">
        <f>B5*C5*K5*K5*M5/(D5*E5)</f>
        <v>1728</v>
      </c>
      <c r="P5" s="5">
        <f>D12*O5/9</f>
        <v>64896</v>
      </c>
      <c r="Q5" s="5">
        <f t="shared" si="0"/>
        <v>72</v>
      </c>
      <c r="R5" s="5">
        <f t="shared" si="1"/>
        <v>96</v>
      </c>
      <c r="S5" s="3">
        <f>B5*L5*L5*8</f>
        <v>13824</v>
      </c>
    </row>
    <row r="6" spans="1:19" x14ac:dyDescent="0.25">
      <c r="A6" s="4" t="s">
        <v>21</v>
      </c>
      <c r="B6" s="5">
        <v>192</v>
      </c>
      <c r="C6" s="5">
        <v>256</v>
      </c>
      <c r="D6" s="5">
        <v>1</v>
      </c>
      <c r="E6" s="5">
        <v>256</v>
      </c>
      <c r="F6" s="5">
        <v>13</v>
      </c>
      <c r="G6" s="5">
        <v>13</v>
      </c>
      <c r="H6" s="5">
        <v>13</v>
      </c>
      <c r="I6" s="5">
        <v>13</v>
      </c>
      <c r="J6" s="5">
        <v>3</v>
      </c>
      <c r="K6" s="5">
        <v>3</v>
      </c>
      <c r="L6" s="5">
        <v>3</v>
      </c>
      <c r="M6" s="5">
        <f>POWER(_xlfn.CEILING.MATH(J6/L6),2)</f>
        <v>1</v>
      </c>
      <c r="N6" s="5">
        <f>F6*G6</f>
        <v>169</v>
      </c>
      <c r="O6" s="5">
        <f>B6*C6*K6*K6*M6/(D6*E6)</f>
        <v>1728</v>
      </c>
      <c r="P6" s="5">
        <f>D12*O6/9</f>
        <v>64896</v>
      </c>
      <c r="Q6" s="5">
        <f t="shared" si="0"/>
        <v>72</v>
      </c>
      <c r="R6" s="5">
        <f t="shared" si="1"/>
        <v>96</v>
      </c>
      <c r="S6" s="3">
        <f>B6*L6*L6*8</f>
        <v>13824</v>
      </c>
    </row>
    <row r="7" spans="1:19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ht="15.75" thickBot="1" x14ac:dyDescent="0.3">
      <c r="A10" s="6" t="s">
        <v>22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23</v>
      </c>
      <c r="O10" s="7">
        <f>SUM(O2:O6)</f>
        <v>7920</v>
      </c>
      <c r="P10" s="7">
        <f>SUM(P2:P6)</f>
        <v>297440</v>
      </c>
      <c r="Q10" s="7">
        <f>SUM(Q2:Q9)</f>
        <v>282</v>
      </c>
      <c r="R10" s="7">
        <f>SUM(R2:R9)</f>
        <v>356</v>
      </c>
      <c r="S10" s="3">
        <f>SUM(S2:S6)</f>
        <v>49752</v>
      </c>
    </row>
    <row r="11" spans="1:19" x14ac:dyDescent="0.25">
      <c r="A11" s="3" t="s">
        <v>24</v>
      </c>
      <c r="B11" s="3">
        <v>391696000</v>
      </c>
      <c r="C11" s="14" t="s">
        <v>28</v>
      </c>
      <c r="D11" s="15" t="s">
        <v>29</v>
      </c>
      <c r="E11" s="16" t="s">
        <v>43</v>
      </c>
      <c r="F11" s="17"/>
    </row>
    <row r="12" spans="1:19" x14ac:dyDescent="0.25">
      <c r="A12" s="3" t="s">
        <v>25</v>
      </c>
      <c r="B12" s="3">
        <f>2*O10*B11/1000000000000</f>
        <v>6.2044646400000003</v>
      </c>
      <c r="C12" s="18" t="s">
        <v>33</v>
      </c>
      <c r="D12" s="13">
        <v>338</v>
      </c>
      <c r="E12" s="11" t="s">
        <v>42</v>
      </c>
      <c r="F12" s="19">
        <v>74650</v>
      </c>
    </row>
    <row r="13" spans="1:19" ht="15.75" thickBot="1" x14ac:dyDescent="0.3">
      <c r="A13" s="3" t="s">
        <v>26</v>
      </c>
      <c r="B13" s="3">
        <f>(P10/(F12*4))*100</f>
        <v>99.611520428667106</v>
      </c>
      <c r="C13" s="6"/>
      <c r="D13" s="7"/>
      <c r="E13" s="22" t="s">
        <v>50</v>
      </c>
      <c r="F13" s="23">
        <f>955</f>
        <v>955</v>
      </c>
    </row>
    <row r="14" spans="1:19" x14ac:dyDescent="0.25">
      <c r="A14" s="3" t="s">
        <v>27</v>
      </c>
      <c r="B14" s="3">
        <f>(Q10+R10)*100/( F13)</f>
        <v>66.806282722513089</v>
      </c>
    </row>
    <row r="16" spans="1:19" x14ac:dyDescent="0.25">
      <c r="D16" s="3" t="s">
        <v>40</v>
      </c>
    </row>
    <row r="17" spans="1:5" x14ac:dyDescent="0.25">
      <c r="A17" s="9" t="s">
        <v>30</v>
      </c>
      <c r="B17" s="9" t="s">
        <v>31</v>
      </c>
      <c r="C17" s="9" t="s">
        <v>32</v>
      </c>
      <c r="D17" s="9" t="s">
        <v>41</v>
      </c>
      <c r="E17" s="9" t="s">
        <v>39</v>
      </c>
    </row>
    <row r="18" spans="1:5" x14ac:dyDescent="0.25">
      <c r="A18" s="9" t="s">
        <v>34</v>
      </c>
      <c r="B18" s="9">
        <f>P2*100/(F12*4)</f>
        <v>5.4333556597454793</v>
      </c>
      <c r="C18" s="10"/>
      <c r="D18" s="9">
        <f>(Q2+R2)*100/( F13)</f>
        <v>1.8848167539267016</v>
      </c>
      <c r="E18" s="10"/>
    </row>
    <row r="19" spans="1:5" x14ac:dyDescent="0.25">
      <c r="A19" s="9" t="s">
        <v>35</v>
      </c>
      <c r="B19" s="9">
        <f>P3*100/(F12*4)</f>
        <v>21.733422638981917</v>
      </c>
      <c r="C19" s="10"/>
      <c r="D19" s="9">
        <f>(Q3+R3)*100/( F13)</f>
        <v>6.2827225130890056</v>
      </c>
      <c r="E19" s="10"/>
    </row>
    <row r="20" spans="1:5" x14ac:dyDescent="0.25">
      <c r="A20" s="9" t="s">
        <v>36</v>
      </c>
      <c r="B20" s="9">
        <f>P4*100/(F12*4)</f>
        <v>28.977896851975888</v>
      </c>
      <c r="C20" s="10"/>
      <c r="D20" s="9">
        <f>(Q4+R4)*100/( F13)</f>
        <v>23.455497382198953</v>
      </c>
      <c r="E20" s="10"/>
    </row>
    <row r="21" spans="1:5" x14ac:dyDescent="0.25">
      <c r="A21" s="9" t="s">
        <v>37</v>
      </c>
      <c r="B21" s="9">
        <f>P5*100/(F12*4)</f>
        <v>21.733422638981917</v>
      </c>
      <c r="C21" s="10"/>
      <c r="D21" s="9">
        <f>(Q5+R5)*100/( F13)</f>
        <v>17.591623036649214</v>
      </c>
      <c r="E21" s="10"/>
    </row>
    <row r="22" spans="1:5" x14ac:dyDescent="0.25">
      <c r="A22" s="9" t="s">
        <v>38</v>
      </c>
      <c r="B22" s="9">
        <f>P6*100/(F12*4)</f>
        <v>21.733422638981917</v>
      </c>
      <c r="C22" s="10"/>
      <c r="D22" s="9">
        <f>(Q6+R6)*100/( F13)</f>
        <v>17.591623036649214</v>
      </c>
      <c r="E22" s="10"/>
    </row>
    <row r="23" spans="1:5" x14ac:dyDescent="0.25">
      <c r="B23" s="3">
        <f>SUM(B18:B22)</f>
        <v>99.61152042866712</v>
      </c>
      <c r="D23" s="9">
        <f>SUM(D18:D22)</f>
        <v>66.806282722513089</v>
      </c>
    </row>
  </sheetData>
  <conditionalFormatting sqref="M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E11" sqref="E1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69</v>
      </c>
      <c r="E1" s="2" t="s">
        <v>70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48</v>
      </c>
      <c r="R1" s="2" t="s">
        <v>49</v>
      </c>
      <c r="S1" s="3" t="s">
        <v>14</v>
      </c>
    </row>
    <row r="2" spans="1:19" x14ac:dyDescent="0.25">
      <c r="A2" s="4" t="s">
        <v>17</v>
      </c>
      <c r="B2" s="5">
        <v>3</v>
      </c>
      <c r="C2" s="5">
        <v>96</v>
      </c>
      <c r="D2" s="5">
        <v>1</v>
      </c>
      <c r="E2" s="5">
        <v>96</v>
      </c>
      <c r="F2" s="5">
        <v>224</v>
      </c>
      <c r="G2" s="5">
        <v>224</v>
      </c>
      <c r="H2" s="5">
        <v>55</v>
      </c>
      <c r="I2" s="5">
        <v>55</v>
      </c>
      <c r="J2" s="5">
        <v>12</v>
      </c>
      <c r="K2" s="5">
        <v>3</v>
      </c>
      <c r="L2" s="5">
        <v>3</v>
      </c>
      <c r="M2" s="5">
        <f>POWER(_xlfn.CEILING.MATH(J2/L2),2)</f>
        <v>16</v>
      </c>
      <c r="N2" s="5">
        <f>POWER(_xlfn.CEILING.MATH(F2/4),2)</f>
        <v>3136</v>
      </c>
      <c r="O2" s="5">
        <f>B2*C2*K2*K2*M2/(D2*E2)</f>
        <v>432</v>
      </c>
      <c r="P2" s="5">
        <f>D12*O2/9</f>
        <v>16224</v>
      </c>
      <c r="Q2" s="5">
        <f>0.5*J2*_xlfn.CEILING.MATH(B2/4)</f>
        <v>6</v>
      </c>
      <c r="R2" s="5">
        <f>(_xlfn.CEILING.MATH((J2*J2*2)/72))*B2*C2/E2</f>
        <v>12</v>
      </c>
      <c r="S2" s="3">
        <f>B2*L2*L2*8</f>
        <v>216</v>
      </c>
    </row>
    <row r="3" spans="1:19" x14ac:dyDescent="0.25">
      <c r="A3" s="4" t="s">
        <v>18</v>
      </c>
      <c r="B3" s="5">
        <v>48</v>
      </c>
      <c r="C3" s="5">
        <v>256</v>
      </c>
      <c r="D3" s="5">
        <v>2</v>
      </c>
      <c r="E3" s="5">
        <v>256</v>
      </c>
      <c r="F3" s="5">
        <v>27</v>
      </c>
      <c r="G3" s="5">
        <v>27</v>
      </c>
      <c r="H3" s="5">
        <v>27</v>
      </c>
      <c r="I3" s="5">
        <v>27</v>
      </c>
      <c r="J3" s="5">
        <v>6</v>
      </c>
      <c r="K3" s="5">
        <v>3</v>
      </c>
      <c r="L3" s="5">
        <v>3</v>
      </c>
      <c r="M3" s="5">
        <f>POWER(_xlfn.CEILING.MATH(J3/L3),2)</f>
        <v>4</v>
      </c>
      <c r="N3" s="5">
        <f>F3*G3</f>
        <v>729</v>
      </c>
      <c r="O3" s="5">
        <f>B3*C3*K3*K3*M3/(D3*E3)</f>
        <v>864</v>
      </c>
      <c r="P3" s="5">
        <f>D12*O3/9</f>
        <v>32448</v>
      </c>
      <c r="Q3" s="5">
        <f t="shared" ref="Q3:Q6" si="0">0.5*J3*_xlfn.CEILING.MATH(B3/4)</f>
        <v>36</v>
      </c>
      <c r="R3" s="5">
        <f t="shared" ref="R3" si="1">(_xlfn.CEILING.MATH((J3*J3*2)/72))*B3*C3/E3</f>
        <v>48</v>
      </c>
      <c r="S3" s="3">
        <f>B3*L3*L3*8</f>
        <v>3456</v>
      </c>
    </row>
    <row r="4" spans="1:19" x14ac:dyDescent="0.25">
      <c r="A4" s="4" t="s">
        <v>19</v>
      </c>
      <c r="B4" s="5">
        <v>256</v>
      </c>
      <c r="C4" s="5">
        <v>384</v>
      </c>
      <c r="D4" s="5">
        <v>2</v>
      </c>
      <c r="E4" s="5">
        <v>384</v>
      </c>
      <c r="F4" s="5">
        <v>13</v>
      </c>
      <c r="G4" s="5">
        <v>13</v>
      </c>
      <c r="H4" s="5">
        <v>13</v>
      </c>
      <c r="I4" s="5">
        <v>13</v>
      </c>
      <c r="J4" s="5">
        <v>3</v>
      </c>
      <c r="K4" s="5">
        <v>3</v>
      </c>
      <c r="L4" s="5">
        <v>3</v>
      </c>
      <c r="M4" s="5">
        <f>POWER(_xlfn.CEILING.MATH(J4/L4),2)</f>
        <v>1</v>
      </c>
      <c r="N4" s="5">
        <f>F4*G4</f>
        <v>169</v>
      </c>
      <c r="O4" s="5">
        <f>B4*C4*K4*K4*M4/(D4*E4)</f>
        <v>1152</v>
      </c>
      <c r="P4" s="5">
        <f>D12*O4/9</f>
        <v>43264</v>
      </c>
      <c r="Q4" s="5">
        <f t="shared" si="0"/>
        <v>96</v>
      </c>
      <c r="R4" s="5">
        <f>(_xlfn.CEILING.MATH((J4*J4*2)/72))*B4*C4/(E4*4)</f>
        <v>64</v>
      </c>
      <c r="S4" s="3">
        <f>B4*L4*L4*8</f>
        <v>18432</v>
      </c>
    </row>
    <row r="5" spans="1:19" x14ac:dyDescent="0.25">
      <c r="A5" s="4" t="s">
        <v>20</v>
      </c>
      <c r="B5" s="5">
        <v>192</v>
      </c>
      <c r="C5" s="5">
        <v>384</v>
      </c>
      <c r="D5" s="5">
        <v>4</v>
      </c>
      <c r="E5" s="5">
        <v>384</v>
      </c>
      <c r="F5" s="5">
        <v>13</v>
      </c>
      <c r="G5" s="5">
        <v>13</v>
      </c>
      <c r="H5" s="5">
        <v>13</v>
      </c>
      <c r="I5" s="5">
        <v>13</v>
      </c>
      <c r="J5" s="5">
        <v>3</v>
      </c>
      <c r="K5" s="5">
        <v>3</v>
      </c>
      <c r="L5" s="5">
        <v>3</v>
      </c>
      <c r="M5" s="5">
        <f>POWER(_xlfn.CEILING.MATH(J5/L5),2)</f>
        <v>1</v>
      </c>
      <c r="N5" s="5">
        <f>F5*G5</f>
        <v>169</v>
      </c>
      <c r="O5" s="5">
        <f>B5*C5*K5*K5*M5/(D5*E5)</f>
        <v>432</v>
      </c>
      <c r="P5" s="5">
        <f>D12*O5/9</f>
        <v>16224</v>
      </c>
      <c r="Q5" s="5">
        <f t="shared" si="0"/>
        <v>72</v>
      </c>
      <c r="R5" s="5">
        <f t="shared" ref="R5:R6" si="2">(_xlfn.CEILING.MATH((J5*J5*2)/72))*B5*C5/(E5*4)</f>
        <v>48</v>
      </c>
      <c r="S5" s="3">
        <f>B5*L5*L5*8</f>
        <v>13824</v>
      </c>
    </row>
    <row r="6" spans="1:19" x14ac:dyDescent="0.25">
      <c r="A6" s="4" t="s">
        <v>21</v>
      </c>
      <c r="B6" s="5">
        <v>192</v>
      </c>
      <c r="C6" s="5">
        <v>256</v>
      </c>
      <c r="D6" s="5">
        <v>4</v>
      </c>
      <c r="E6" s="5">
        <v>256</v>
      </c>
      <c r="F6" s="5">
        <v>13</v>
      </c>
      <c r="G6" s="5">
        <v>13</v>
      </c>
      <c r="H6" s="5">
        <v>13</v>
      </c>
      <c r="I6" s="5">
        <v>13</v>
      </c>
      <c r="J6" s="5">
        <v>3</v>
      </c>
      <c r="K6" s="5">
        <v>3</v>
      </c>
      <c r="L6" s="5">
        <v>3</v>
      </c>
      <c r="M6" s="5">
        <f>POWER(_xlfn.CEILING.MATH(J6/L6),2)</f>
        <v>1</v>
      </c>
      <c r="N6" s="5">
        <f>F6*G6</f>
        <v>169</v>
      </c>
      <c r="O6" s="5">
        <f>B6*C6*K6*K6*M6/(D6*E6)</f>
        <v>432</v>
      </c>
      <c r="P6" s="5">
        <f>D12*O6/9</f>
        <v>16224</v>
      </c>
      <c r="Q6" s="5">
        <f t="shared" si="0"/>
        <v>72</v>
      </c>
      <c r="R6" s="5">
        <f t="shared" si="2"/>
        <v>48</v>
      </c>
      <c r="S6" s="3">
        <f>B6*L6*L6*8</f>
        <v>13824</v>
      </c>
    </row>
    <row r="7" spans="1:19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ht="15.75" thickBot="1" x14ac:dyDescent="0.3">
      <c r="A10" s="6" t="s">
        <v>22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23</v>
      </c>
      <c r="O10" s="7">
        <f>SUM(O2:O6)</f>
        <v>3312</v>
      </c>
      <c r="P10" s="7">
        <f>SUM(P2:P6)</f>
        <v>124384</v>
      </c>
      <c r="Q10" s="7">
        <f>SUM(Q2:Q9)</f>
        <v>282</v>
      </c>
      <c r="R10" s="7">
        <f>SUM(R2:R9)</f>
        <v>220</v>
      </c>
      <c r="S10" s="3">
        <f>SUM(S2:S6)</f>
        <v>49752</v>
      </c>
    </row>
    <row r="11" spans="1:19" x14ac:dyDescent="0.25">
      <c r="A11" s="3" t="s">
        <v>24</v>
      </c>
      <c r="B11" s="3">
        <v>391696000</v>
      </c>
      <c r="C11" s="14" t="s">
        <v>28</v>
      </c>
      <c r="D11" s="15" t="s">
        <v>29</v>
      </c>
      <c r="E11" s="16" t="s">
        <v>71</v>
      </c>
      <c r="F11" s="17"/>
    </row>
    <row r="12" spans="1:19" x14ac:dyDescent="0.25">
      <c r="A12" s="3" t="s">
        <v>25</v>
      </c>
      <c r="B12" s="3">
        <f>2*O10*B11/1000000000000</f>
        <v>2.5945943040000001</v>
      </c>
      <c r="C12" s="18" t="s">
        <v>33</v>
      </c>
      <c r="D12" s="13">
        <v>338</v>
      </c>
      <c r="E12" s="11" t="s">
        <v>42</v>
      </c>
      <c r="F12" s="19">
        <v>33650</v>
      </c>
    </row>
    <row r="13" spans="1:19" ht="15.75" thickBot="1" x14ac:dyDescent="0.3">
      <c r="A13" s="3" t="s">
        <v>26</v>
      </c>
      <c r="B13" s="3">
        <f>(P10/(F12*4))*100</f>
        <v>92.410104011887071</v>
      </c>
      <c r="C13" s="20"/>
      <c r="D13" s="21"/>
      <c r="E13" s="22" t="s">
        <v>50</v>
      </c>
      <c r="F13" s="23">
        <v>365</v>
      </c>
    </row>
    <row r="14" spans="1:19" x14ac:dyDescent="0.25">
      <c r="A14" s="3" t="s">
        <v>27</v>
      </c>
      <c r="B14" s="3">
        <f>(Q10+R10)*100/( F13)</f>
        <v>137.53424657534248</v>
      </c>
    </row>
    <row r="16" spans="1:19" x14ac:dyDescent="0.25">
      <c r="D16" s="3" t="s">
        <v>40</v>
      </c>
    </row>
    <row r="17" spans="1:5" x14ac:dyDescent="0.25">
      <c r="A17" s="9" t="s">
        <v>30</v>
      </c>
      <c r="B17" s="9" t="s">
        <v>31</v>
      </c>
      <c r="C17" s="9" t="s">
        <v>32</v>
      </c>
      <c r="D17" s="9" t="s">
        <v>41</v>
      </c>
      <c r="E17" s="9" t="s">
        <v>39</v>
      </c>
    </row>
    <row r="18" spans="1:5" x14ac:dyDescent="0.25">
      <c r="A18" s="9" t="s">
        <v>34</v>
      </c>
      <c r="B18" s="9">
        <f>P2*100/(F12*4)</f>
        <v>12.053491827637444</v>
      </c>
      <c r="C18" s="10"/>
      <c r="D18" s="9">
        <f>(Q2+R2)*100/( F13)</f>
        <v>4.9315068493150687</v>
      </c>
      <c r="E18" s="10"/>
    </row>
    <row r="19" spans="1:5" x14ac:dyDescent="0.25">
      <c r="A19" s="9" t="s">
        <v>35</v>
      </c>
      <c r="B19" s="9">
        <f>P3*100/(F12*4)</f>
        <v>24.106983655274888</v>
      </c>
      <c r="C19" s="10"/>
      <c r="D19" s="9">
        <f>(Q3+R3)*100/( F13)</f>
        <v>23.013698630136986</v>
      </c>
      <c r="E19" s="10"/>
    </row>
    <row r="20" spans="1:5" x14ac:dyDescent="0.25">
      <c r="A20" s="9" t="s">
        <v>36</v>
      </c>
      <c r="B20" s="9">
        <f>P4*100/(F12*4)</f>
        <v>32.142644873699851</v>
      </c>
      <c r="C20" s="10"/>
      <c r="D20" s="9">
        <f>(Q4+R4)*100/( F13)</f>
        <v>43.835616438356162</v>
      </c>
      <c r="E20" s="10"/>
    </row>
    <row r="21" spans="1:5" x14ac:dyDescent="0.25">
      <c r="A21" s="9" t="s">
        <v>37</v>
      </c>
      <c r="B21" s="9">
        <f>P5*100/(F12*4)</f>
        <v>12.053491827637444</v>
      </c>
      <c r="C21" s="10"/>
      <c r="D21" s="9">
        <f>(Q5+R5)*100/( F13)</f>
        <v>32.876712328767127</v>
      </c>
      <c r="E21" s="10"/>
    </row>
    <row r="22" spans="1:5" x14ac:dyDescent="0.25">
      <c r="A22" s="9" t="s">
        <v>38</v>
      </c>
      <c r="B22" s="9">
        <f>P6*100/(F12*4)</f>
        <v>12.053491827637444</v>
      </c>
      <c r="C22" s="10"/>
      <c r="D22" s="9">
        <f>(Q6+R6)*100/( F13)</f>
        <v>32.876712328767127</v>
      </c>
      <c r="E22" s="10"/>
    </row>
    <row r="23" spans="1:5" x14ac:dyDescent="0.25">
      <c r="B23" s="3">
        <f>SUM(B18:B22)</f>
        <v>92.410104011887071</v>
      </c>
      <c r="D23" s="3">
        <f>SUM(D18:D22)</f>
        <v>137.53424657534248</v>
      </c>
    </row>
  </sheetData>
  <conditionalFormatting sqref="M1:O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69</v>
      </c>
      <c r="E1" s="2" t="s">
        <v>70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48</v>
      </c>
      <c r="R1" s="2" t="s">
        <v>49</v>
      </c>
      <c r="S1" s="3" t="s">
        <v>14</v>
      </c>
    </row>
    <row r="2" spans="1:19" x14ac:dyDescent="0.25">
      <c r="A2" s="4" t="s">
        <v>17</v>
      </c>
      <c r="B2" s="5">
        <v>3</v>
      </c>
      <c r="C2" s="5">
        <v>96</v>
      </c>
      <c r="D2" s="5">
        <v>1</v>
      </c>
      <c r="E2" s="5">
        <v>96</v>
      </c>
      <c r="F2" s="5">
        <v>224</v>
      </c>
      <c r="G2" s="5">
        <v>224</v>
      </c>
      <c r="H2" s="5">
        <v>55</v>
      </c>
      <c r="I2" s="5">
        <v>55</v>
      </c>
      <c r="J2" s="5">
        <v>11</v>
      </c>
      <c r="K2" s="5">
        <v>3</v>
      </c>
      <c r="L2" s="5">
        <v>3</v>
      </c>
      <c r="M2" s="5">
        <f>POWER(_xlfn.CEILING.MATH(J2/L2),2)</f>
        <v>16</v>
      </c>
      <c r="N2" s="5">
        <f>POWER(_xlfn.CEILING.MATH(F2/4),2)</f>
        <v>3136</v>
      </c>
      <c r="O2" s="5">
        <f>B2*C2*K2*K2*M2/(D2*E2)</f>
        <v>432</v>
      </c>
      <c r="P2" s="5">
        <f>D12*O2/9</f>
        <v>16224</v>
      </c>
      <c r="Q2" s="5">
        <f>0.5*J2*_xlfn.CEILING.MATH(B2/4)</f>
        <v>5.5</v>
      </c>
      <c r="R2" s="5">
        <f>(_xlfn.CEILING.MATH((J2*J2*2)/72))*B2*C2/E2</f>
        <v>12</v>
      </c>
      <c r="S2" s="3">
        <f>B2*L2*L2*8</f>
        <v>216</v>
      </c>
    </row>
    <row r="3" spans="1:19" x14ac:dyDescent="0.25">
      <c r="A3" s="4" t="s">
        <v>18</v>
      </c>
      <c r="B3" s="5">
        <v>48</v>
      </c>
      <c r="C3" s="5">
        <v>256</v>
      </c>
      <c r="D3" s="5">
        <v>1</v>
      </c>
      <c r="E3" s="5">
        <v>256</v>
      </c>
      <c r="F3" s="5">
        <v>27</v>
      </c>
      <c r="G3" s="5">
        <v>27</v>
      </c>
      <c r="H3" s="5">
        <v>27</v>
      </c>
      <c r="I3" s="5">
        <v>27</v>
      </c>
      <c r="J3" s="5">
        <v>5</v>
      </c>
      <c r="K3" s="5">
        <v>3</v>
      </c>
      <c r="L3" s="5">
        <v>3</v>
      </c>
      <c r="M3" s="5">
        <f>POWER(_xlfn.CEILING.MATH(J3/L3),2)</f>
        <v>4</v>
      </c>
      <c r="N3" s="5">
        <f>F3*G3</f>
        <v>729</v>
      </c>
      <c r="O3" s="5">
        <f>B3*C3*K3*K3*M3/(D3*E3)</f>
        <v>1728</v>
      </c>
      <c r="P3" s="5">
        <f>D12*O3/9</f>
        <v>64896</v>
      </c>
      <c r="Q3" s="5">
        <f t="shared" ref="Q3:Q6" si="0">0.5*J3*_xlfn.CEILING.MATH(B3/4)</f>
        <v>30</v>
      </c>
      <c r="R3" s="5">
        <f t="shared" ref="R3" si="1">(_xlfn.CEILING.MATH((J3*J3*2)/72))*B3*C3/E3</f>
        <v>48</v>
      </c>
      <c r="S3" s="3">
        <f>B3*L3*L3*8</f>
        <v>3456</v>
      </c>
    </row>
    <row r="4" spans="1:19" x14ac:dyDescent="0.25">
      <c r="A4" s="4" t="s">
        <v>19</v>
      </c>
      <c r="B4" s="5">
        <v>256</v>
      </c>
      <c r="C4" s="5">
        <v>384</v>
      </c>
      <c r="D4" s="5">
        <v>1</v>
      </c>
      <c r="E4" s="5">
        <v>384</v>
      </c>
      <c r="F4" s="5">
        <v>13</v>
      </c>
      <c r="G4" s="5">
        <v>13</v>
      </c>
      <c r="H4" s="5">
        <v>13</v>
      </c>
      <c r="I4" s="5">
        <v>13</v>
      </c>
      <c r="J4" s="5">
        <v>3</v>
      </c>
      <c r="K4" s="5">
        <v>3</v>
      </c>
      <c r="L4" s="5">
        <v>3</v>
      </c>
      <c r="M4" s="5">
        <f>POWER(_xlfn.CEILING.MATH(J4/L4),2)</f>
        <v>1</v>
      </c>
      <c r="N4" s="5">
        <f>F4*G4</f>
        <v>169</v>
      </c>
      <c r="O4" s="5">
        <f>B4*C4*K4*K4*M4/(D4*E4)</f>
        <v>2304</v>
      </c>
      <c r="P4" s="5">
        <f>D12*O4/9</f>
        <v>86528</v>
      </c>
      <c r="Q4" s="5">
        <f t="shared" si="0"/>
        <v>96</v>
      </c>
      <c r="R4" s="5">
        <f>(_xlfn.CEILING.MATH((J4*J4*2)/72))*B4*C4/(E4*4)</f>
        <v>64</v>
      </c>
      <c r="S4" s="3">
        <f>B4*L4*L4*8</f>
        <v>18432</v>
      </c>
    </row>
    <row r="5" spans="1:19" x14ac:dyDescent="0.25">
      <c r="A5" s="4" t="s">
        <v>20</v>
      </c>
      <c r="B5" s="5">
        <v>192</v>
      </c>
      <c r="C5" s="5">
        <v>384</v>
      </c>
      <c r="D5" s="5">
        <v>1</v>
      </c>
      <c r="E5" s="5">
        <v>384</v>
      </c>
      <c r="F5" s="5">
        <v>13</v>
      </c>
      <c r="G5" s="5">
        <v>13</v>
      </c>
      <c r="H5" s="5">
        <v>13</v>
      </c>
      <c r="I5" s="5">
        <v>13</v>
      </c>
      <c r="J5" s="5">
        <v>3</v>
      </c>
      <c r="K5" s="5">
        <v>3</v>
      </c>
      <c r="L5" s="5">
        <v>3</v>
      </c>
      <c r="M5" s="5">
        <f>POWER(_xlfn.CEILING.MATH(J5/L5),2)</f>
        <v>1</v>
      </c>
      <c r="N5" s="5">
        <f>F5*G5</f>
        <v>169</v>
      </c>
      <c r="O5" s="5">
        <f>B5*C5*K5*K5*M5/(D5*E5)</f>
        <v>1728</v>
      </c>
      <c r="P5" s="5">
        <f>D12*O5/9</f>
        <v>64896</v>
      </c>
      <c r="Q5" s="5">
        <f t="shared" si="0"/>
        <v>72</v>
      </c>
      <c r="R5" s="5">
        <f t="shared" ref="R5:R6" si="2">(_xlfn.CEILING.MATH((J5*J5*2)/72))*B5*C5/(E5*4)</f>
        <v>48</v>
      </c>
      <c r="S5" s="3">
        <f>B5*L5*L5*8</f>
        <v>13824</v>
      </c>
    </row>
    <row r="6" spans="1:19" x14ac:dyDescent="0.25">
      <c r="A6" s="4" t="s">
        <v>21</v>
      </c>
      <c r="B6" s="5">
        <v>192</v>
      </c>
      <c r="C6" s="5">
        <v>256</v>
      </c>
      <c r="D6" s="5">
        <v>2</v>
      </c>
      <c r="E6" s="5">
        <v>256</v>
      </c>
      <c r="F6" s="5">
        <v>13</v>
      </c>
      <c r="G6" s="5">
        <v>13</v>
      </c>
      <c r="H6" s="5">
        <v>13</v>
      </c>
      <c r="I6" s="5">
        <v>13</v>
      </c>
      <c r="J6" s="5">
        <v>3</v>
      </c>
      <c r="K6" s="5">
        <v>3</v>
      </c>
      <c r="L6" s="5">
        <v>3</v>
      </c>
      <c r="M6" s="5">
        <f>POWER(_xlfn.CEILING.MATH(J6/L6),2)</f>
        <v>1</v>
      </c>
      <c r="N6" s="5">
        <f>F6*G6</f>
        <v>169</v>
      </c>
      <c r="O6" s="5">
        <f>B6*C6*K6*K6*M6/(D6*E6)</f>
        <v>864</v>
      </c>
      <c r="P6" s="5">
        <f>D12*O6/9</f>
        <v>32448</v>
      </c>
      <c r="Q6" s="5">
        <f t="shared" si="0"/>
        <v>72</v>
      </c>
      <c r="R6" s="5">
        <f t="shared" si="2"/>
        <v>48</v>
      </c>
      <c r="S6" s="3">
        <f>B6*L6*L6*8</f>
        <v>13824</v>
      </c>
    </row>
    <row r="7" spans="1:19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x14ac:dyDescent="0.2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ht="15.75" thickBot="1" x14ac:dyDescent="0.3">
      <c r="A10" s="6" t="s">
        <v>22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23</v>
      </c>
      <c r="O10" s="7">
        <f>SUM(O2:O6)</f>
        <v>7056</v>
      </c>
      <c r="P10" s="7">
        <f>SUM(P2:P6)</f>
        <v>264992</v>
      </c>
      <c r="Q10" s="7">
        <f>SUM(Q2:Q9)</f>
        <v>275.5</v>
      </c>
      <c r="R10" s="7">
        <f>SUM(R2:R9)</f>
        <v>220</v>
      </c>
      <c r="S10" s="3">
        <f>SUM(S2:S6)</f>
        <v>49752</v>
      </c>
    </row>
    <row r="11" spans="1:19" x14ac:dyDescent="0.25">
      <c r="A11" s="3" t="s">
        <v>24</v>
      </c>
      <c r="B11" s="3">
        <v>391696000</v>
      </c>
      <c r="C11" s="14" t="s">
        <v>28</v>
      </c>
      <c r="D11" s="15" t="s">
        <v>29</v>
      </c>
      <c r="E11" s="16" t="s">
        <v>44</v>
      </c>
      <c r="F11" s="17"/>
    </row>
    <row r="12" spans="1:19" x14ac:dyDescent="0.25">
      <c r="A12" s="3" t="s">
        <v>25</v>
      </c>
      <c r="B12" s="3">
        <f>2*O10*B11/1000000000000</f>
        <v>5.5276139520000003</v>
      </c>
      <c r="C12" s="18" t="s">
        <v>33</v>
      </c>
      <c r="D12" s="13">
        <v>338</v>
      </c>
      <c r="E12" s="11" t="s">
        <v>42</v>
      </c>
      <c r="F12" s="19">
        <f>277400/4</f>
        <v>69350</v>
      </c>
      <c r="G12" s="3" t="s">
        <v>52</v>
      </c>
    </row>
    <row r="13" spans="1:19" ht="15.75" thickBot="1" x14ac:dyDescent="0.3">
      <c r="A13" s="3" t="s">
        <v>26</v>
      </c>
      <c r="B13" s="3">
        <f>(P10/(F12*4))*100</f>
        <v>95.527036770007214</v>
      </c>
      <c r="C13" s="20"/>
      <c r="D13" s="21"/>
      <c r="E13" s="22" t="s">
        <v>50</v>
      </c>
      <c r="F13" s="23">
        <v>755</v>
      </c>
    </row>
    <row r="14" spans="1:19" x14ac:dyDescent="0.25">
      <c r="A14" s="3" t="s">
        <v>27</v>
      </c>
      <c r="B14" s="3">
        <f>(Q10+R10)*100/( F13)</f>
        <v>65.629139072847678</v>
      </c>
      <c r="C14" s="3" t="s">
        <v>46</v>
      </c>
    </row>
    <row r="16" spans="1:19" x14ac:dyDescent="0.25">
      <c r="D16" s="3" t="s">
        <v>40</v>
      </c>
    </row>
    <row r="17" spans="1:8" x14ac:dyDescent="0.25">
      <c r="A17" s="9" t="s">
        <v>30</v>
      </c>
      <c r="B17" s="9" t="s">
        <v>31</v>
      </c>
      <c r="C17" s="9" t="s">
        <v>32</v>
      </c>
      <c r="D17" s="9" t="s">
        <v>41</v>
      </c>
      <c r="E17" s="9" t="s">
        <v>39</v>
      </c>
    </row>
    <row r="18" spans="1:8" x14ac:dyDescent="0.25">
      <c r="A18" s="9" t="s">
        <v>34</v>
      </c>
      <c r="B18" s="9">
        <f>P2*100/(F12*4)</f>
        <v>5.8485940879596248</v>
      </c>
      <c r="C18" s="10"/>
      <c r="D18" s="9">
        <f>(Q2+R2)*100/( F13)</f>
        <v>2.3178807947019866</v>
      </c>
      <c r="E18" s="10"/>
    </row>
    <row r="19" spans="1:8" x14ac:dyDescent="0.25">
      <c r="A19" s="9" t="s">
        <v>35</v>
      </c>
      <c r="B19" s="9">
        <f>P3*100/(F12*4)</f>
        <v>23.394376351838499</v>
      </c>
      <c r="C19" s="10"/>
      <c r="D19" s="9">
        <f>(Q3+R3)*100/( F13)</f>
        <v>10.331125827814569</v>
      </c>
      <c r="E19" s="10"/>
    </row>
    <row r="20" spans="1:8" x14ac:dyDescent="0.25">
      <c r="A20" s="9" t="s">
        <v>36</v>
      </c>
      <c r="B20" s="9">
        <f>P4*100/(F12*4)</f>
        <v>31.192501802451332</v>
      </c>
      <c r="C20" s="10"/>
      <c r="D20" s="9">
        <f>(Q4+R4)*100/( F13)</f>
        <v>21.192052980132452</v>
      </c>
      <c r="E20" s="10"/>
    </row>
    <row r="21" spans="1:8" x14ac:dyDescent="0.25">
      <c r="A21" s="9" t="s">
        <v>37</v>
      </c>
      <c r="B21" s="9">
        <f>P5*100/(F12*4)</f>
        <v>23.394376351838499</v>
      </c>
      <c r="C21" s="10"/>
      <c r="D21" s="9">
        <f>(Q5+R5)*100/( F13)</f>
        <v>15.894039735099337</v>
      </c>
      <c r="E21" s="10"/>
    </row>
    <row r="22" spans="1:8" x14ac:dyDescent="0.25">
      <c r="A22" s="9" t="s">
        <v>38</v>
      </c>
      <c r="B22" s="9">
        <f>P6*100/(F12*4)</f>
        <v>11.69718817591925</v>
      </c>
      <c r="C22" s="10"/>
      <c r="D22" s="9">
        <f>(Q6+R6)*100/( F13)</f>
        <v>15.894039735099337</v>
      </c>
      <c r="E22" s="10"/>
    </row>
    <row r="23" spans="1:8" x14ac:dyDescent="0.25">
      <c r="B23" s="3">
        <f>SUM(B18:B22)</f>
        <v>95.527036770007214</v>
      </c>
      <c r="D23" s="3">
        <f>SUM(D18:D22)</f>
        <v>65.629139072847693</v>
      </c>
      <c r="H23" s="3">
        <v>8</v>
      </c>
    </row>
  </sheetData>
  <conditionalFormatting sqref="M1:O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Virtex</vt:lpstr>
      <vt:lpstr>Kintex</vt:lpstr>
      <vt:lpstr>artix</vt:lpstr>
      <vt:lpstr>zync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 Pant</dc:creator>
  <cp:lastModifiedBy>Vibha Pant</cp:lastModifiedBy>
  <dcterms:created xsi:type="dcterms:W3CDTF">2017-06-21T04:57:04Z</dcterms:created>
  <dcterms:modified xsi:type="dcterms:W3CDTF">2017-07-31T04:13:56Z</dcterms:modified>
</cp:coreProperties>
</file>