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Vibha Pant BL.EN.P2EBS15022\code\performance_estimator\systolic\"/>
    </mc:Choice>
  </mc:AlternateContent>
  <bookViews>
    <workbookView xWindow="0" yWindow="0" windowWidth="20490" windowHeight="7155" activeTab="2"/>
  </bookViews>
  <sheets>
    <sheet name="Virtex" sheetId="1" r:id="rId1"/>
    <sheet name="Kintex" sheetId="2" r:id="rId2"/>
    <sheet name="artix" sheetId="3" r:id="rId3"/>
    <sheet name="zync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Q2" i="1"/>
  <c r="A28" i="1"/>
  <c r="A27" i="1"/>
  <c r="A29" i="1"/>
  <c r="A30" i="1"/>
  <c r="A31" i="1"/>
  <c r="H18" i="1"/>
  <c r="H19" i="1"/>
  <c r="H20" i="1"/>
  <c r="H21" i="1"/>
  <c r="H17" i="1"/>
  <c r="B31" i="1" l="1"/>
  <c r="B34" i="1" s="1"/>
  <c r="F12" i="4"/>
  <c r="R6" i="4"/>
  <c r="D22" i="4" s="1"/>
  <c r="Q6" i="4"/>
  <c r="R5" i="4"/>
  <c r="Q5" i="4"/>
  <c r="R4" i="4"/>
  <c r="D20" i="4" s="1"/>
  <c r="Q4" i="4"/>
  <c r="R3" i="4"/>
  <c r="D19" i="4" s="1"/>
  <c r="Q3" i="4"/>
  <c r="R2" i="4"/>
  <c r="D18" i="4" s="1"/>
  <c r="Q2" i="4"/>
  <c r="R6" i="3"/>
  <c r="D22" i="3" s="1"/>
  <c r="Q6" i="3"/>
  <c r="R5" i="3"/>
  <c r="Q5" i="3"/>
  <c r="R4" i="3"/>
  <c r="D20" i="3" s="1"/>
  <c r="Q4" i="3"/>
  <c r="R3" i="3"/>
  <c r="Q3" i="3"/>
  <c r="R2" i="3"/>
  <c r="D18" i="3" s="1"/>
  <c r="Q2" i="3"/>
  <c r="Q10" i="2"/>
  <c r="R6" i="2"/>
  <c r="D22" i="2" s="1"/>
  <c r="Q6" i="2"/>
  <c r="R5" i="2"/>
  <c r="D21" i="2" s="1"/>
  <c r="Q5" i="2"/>
  <c r="R4" i="2"/>
  <c r="D20" i="2" s="1"/>
  <c r="Q4" i="2"/>
  <c r="R3" i="2"/>
  <c r="D19" i="2" s="1"/>
  <c r="Q3" i="2"/>
  <c r="R2" i="2"/>
  <c r="D18" i="2" s="1"/>
  <c r="Q2" i="2"/>
  <c r="F13" i="2"/>
  <c r="Q10" i="1"/>
  <c r="R6" i="1"/>
  <c r="D22" i="1" s="1"/>
  <c r="Q6" i="1"/>
  <c r="R5" i="1"/>
  <c r="D21" i="1" s="1"/>
  <c r="Q5" i="1"/>
  <c r="R4" i="1"/>
  <c r="D20" i="1" s="1"/>
  <c r="Q4" i="1"/>
  <c r="R3" i="1"/>
  <c r="D19" i="1" s="1"/>
  <c r="Q3" i="1"/>
  <c r="R2" i="1"/>
  <c r="D18" i="1" s="1"/>
  <c r="D19" i="3" l="1"/>
  <c r="B32" i="1"/>
  <c r="R10" i="1"/>
  <c r="B14" i="1" s="1"/>
  <c r="D21" i="4"/>
  <c r="D21" i="3"/>
  <c r="R10" i="2"/>
  <c r="B14" i="2" s="1"/>
  <c r="S10" i="4"/>
  <c r="R10" i="4"/>
  <c r="Q10" i="4"/>
  <c r="S10" i="3"/>
  <c r="R10" i="3"/>
  <c r="Q10" i="3"/>
  <c r="S10" i="2"/>
  <c r="T10" i="1"/>
  <c r="S10" i="1"/>
  <c r="B14" i="4" l="1"/>
  <c r="B14" i="3"/>
  <c r="S6" i="4"/>
  <c r="N6" i="4"/>
  <c r="M6" i="4"/>
  <c r="O6" i="4" s="1"/>
  <c r="P6" i="4" s="1"/>
  <c r="B22" i="4" s="1"/>
  <c r="S5" i="4"/>
  <c r="N5" i="4"/>
  <c r="M5" i="4"/>
  <c r="O5" i="4" s="1"/>
  <c r="P5" i="4" s="1"/>
  <c r="B21" i="4" s="1"/>
  <c r="S4" i="4"/>
  <c r="O4" i="4"/>
  <c r="P4" i="4" s="1"/>
  <c r="B20" i="4" s="1"/>
  <c r="N4" i="4"/>
  <c r="M4" i="4"/>
  <c r="S3" i="4"/>
  <c r="O3" i="4"/>
  <c r="P3" i="4" s="1"/>
  <c r="B19" i="4" s="1"/>
  <c r="N3" i="4"/>
  <c r="M3" i="4"/>
  <c r="S2" i="4"/>
  <c r="N2" i="4"/>
  <c r="M2" i="4"/>
  <c r="O2" i="4" s="1"/>
  <c r="S6" i="3"/>
  <c r="N6" i="3"/>
  <c r="M6" i="3"/>
  <c r="O6" i="3" s="1"/>
  <c r="P6" i="3" s="1"/>
  <c r="B22" i="3" s="1"/>
  <c r="S5" i="3"/>
  <c r="N5" i="3"/>
  <c r="M5" i="3"/>
  <c r="O5" i="3" s="1"/>
  <c r="P5" i="3" s="1"/>
  <c r="B21" i="3" s="1"/>
  <c r="S4" i="3"/>
  <c r="O4" i="3"/>
  <c r="P4" i="3" s="1"/>
  <c r="B20" i="3" s="1"/>
  <c r="N4" i="3"/>
  <c r="M4" i="3"/>
  <c r="S3" i="3"/>
  <c r="O3" i="3"/>
  <c r="P3" i="3" s="1"/>
  <c r="B19" i="3" s="1"/>
  <c r="N3" i="3"/>
  <c r="M3" i="3"/>
  <c r="S2" i="3"/>
  <c r="N2" i="3"/>
  <c r="M2" i="3"/>
  <c r="O2" i="3" s="1"/>
  <c r="S6" i="2"/>
  <c r="N6" i="2"/>
  <c r="M6" i="2"/>
  <c r="O6" i="2" s="1"/>
  <c r="P6" i="2" s="1"/>
  <c r="B22" i="2" s="1"/>
  <c r="S5" i="2"/>
  <c r="N5" i="2"/>
  <c r="M5" i="2"/>
  <c r="O5" i="2" s="1"/>
  <c r="P5" i="2" s="1"/>
  <c r="B21" i="2" s="1"/>
  <c r="S4" i="2"/>
  <c r="O4" i="2"/>
  <c r="P4" i="2" s="1"/>
  <c r="B20" i="2" s="1"/>
  <c r="N4" i="2"/>
  <c r="M4" i="2"/>
  <c r="S3" i="2"/>
  <c r="O3" i="2"/>
  <c r="P3" i="2" s="1"/>
  <c r="B19" i="2" s="1"/>
  <c r="N3" i="2"/>
  <c r="M3" i="2"/>
  <c r="S2" i="2"/>
  <c r="N2" i="2"/>
  <c r="M2" i="2"/>
  <c r="O2" i="2" s="1"/>
  <c r="O10" i="4" l="1"/>
  <c r="B12" i="4" s="1"/>
  <c r="O10" i="3"/>
  <c r="B12" i="3" s="1"/>
  <c r="O10" i="2"/>
  <c r="B12" i="2" s="1"/>
  <c r="P2" i="4"/>
  <c r="P10" i="4" s="1"/>
  <c r="B13" i="4" s="1"/>
  <c r="P2" i="3"/>
  <c r="B18" i="3" s="1"/>
  <c r="P2" i="2"/>
  <c r="P10" i="3" l="1"/>
  <c r="B13" i="3" s="1"/>
  <c r="B18" i="2"/>
  <c r="P10" i="2"/>
  <c r="B13" i="2" s="1"/>
  <c r="B18" i="4"/>
  <c r="U6" i="1" l="1"/>
  <c r="T6" i="1"/>
  <c r="S6" i="1"/>
  <c r="N6" i="1"/>
  <c r="M6" i="1"/>
  <c r="O6" i="1" s="1"/>
  <c r="P6" i="1" s="1"/>
  <c r="B22" i="1" s="1"/>
  <c r="U5" i="1"/>
  <c r="T5" i="1"/>
  <c r="S5" i="1"/>
  <c r="N5" i="1"/>
  <c r="M5" i="1"/>
  <c r="O5" i="1" s="1"/>
  <c r="P5" i="1" s="1"/>
  <c r="B21" i="1" s="1"/>
  <c r="U4" i="1"/>
  <c r="T4" i="1"/>
  <c r="S4" i="1"/>
  <c r="O4" i="1"/>
  <c r="N4" i="1"/>
  <c r="M4" i="1"/>
  <c r="U3" i="1"/>
  <c r="T3" i="1"/>
  <c r="S3" i="1"/>
  <c r="O3" i="1"/>
  <c r="P3" i="1" s="1"/>
  <c r="B19" i="1" s="1"/>
  <c r="N3" i="1"/>
  <c r="M3" i="1"/>
  <c r="U2" i="1"/>
  <c r="U10" i="1" s="1"/>
  <c r="T2" i="1"/>
  <c r="S2" i="1"/>
  <c r="N2" i="1"/>
  <c r="M2" i="1"/>
  <c r="O2" i="1" s="1"/>
  <c r="P2" i="1" s="1"/>
  <c r="B18" i="1" s="1"/>
  <c r="P4" i="1" l="1"/>
  <c r="B20" i="1" s="1"/>
  <c r="B23" i="1" s="1"/>
  <c r="O10" i="1"/>
  <c r="B12" i="1" s="1"/>
  <c r="P10" i="1" l="1"/>
  <c r="B13" i="1" s="1"/>
</calcChain>
</file>

<file path=xl/sharedStrings.xml><?xml version="1.0" encoding="utf-8"?>
<sst xmlns="http://schemas.openxmlformats.org/spreadsheetml/2006/main" count="192" uniqueCount="55">
  <si>
    <t>Layer</t>
  </si>
  <si>
    <t>N</t>
  </si>
  <si>
    <t>M</t>
  </si>
  <si>
    <t>Rin</t>
  </si>
  <si>
    <t>Cin</t>
  </si>
  <si>
    <t>Rout</t>
  </si>
  <si>
    <t>Cout</t>
  </si>
  <si>
    <t>Kernel</t>
  </si>
  <si>
    <t xml:space="preserve"> Input Tile size</t>
  </si>
  <si>
    <t>kernel tile size</t>
  </si>
  <si>
    <t># times kernel</t>
  </si>
  <si>
    <t>#times Input</t>
  </si>
  <si>
    <t>#Ternary Compute</t>
  </si>
  <si>
    <t>#Luts</t>
  </si>
  <si>
    <t>#Intermediate Mem Bits</t>
  </si>
  <si>
    <t>#Input Memory 32 bit without tiling</t>
  </si>
  <si>
    <t>#kernel 32 bit</t>
  </si>
  <si>
    <t>Conv1</t>
  </si>
  <si>
    <t>Conv2</t>
  </si>
  <si>
    <t>Conv3</t>
  </si>
  <si>
    <t>Conv4</t>
  </si>
  <si>
    <t>Conv5</t>
  </si>
  <si>
    <t>Total(∑)</t>
  </si>
  <si>
    <t>Frequency</t>
  </si>
  <si>
    <t>TOPs</t>
  </si>
  <si>
    <t>%lut-l util</t>
  </si>
  <si>
    <t>%lut-m util</t>
  </si>
  <si>
    <t>DATA GIVEN</t>
  </si>
  <si>
    <t>LUT</t>
  </si>
  <si>
    <t>layer</t>
  </si>
  <si>
    <t>ESTIMATED% LUT</t>
  </si>
  <si>
    <t>REPORTED % LUT</t>
  </si>
  <si>
    <t>PE</t>
  </si>
  <si>
    <t xml:space="preserve">C1 </t>
  </si>
  <si>
    <t>C2</t>
  </si>
  <si>
    <t>C3</t>
  </si>
  <si>
    <t>C4</t>
  </si>
  <si>
    <t>C5</t>
  </si>
  <si>
    <t>Reported Memory %</t>
  </si>
  <si>
    <t>kernel+input</t>
  </si>
  <si>
    <t>Estimated Memory BRAM Util %</t>
  </si>
  <si>
    <t>Atrix</t>
  </si>
  <si>
    <t>#slices</t>
  </si>
  <si>
    <t>Kintex</t>
  </si>
  <si>
    <t>Zync</t>
  </si>
  <si>
    <t>Virtex</t>
  </si>
  <si>
    <t>max</t>
  </si>
  <si>
    <t>#Input Memory(BRAMs)</t>
  </si>
  <si>
    <t>#Kernel BRAMs</t>
  </si>
  <si>
    <t>#brams(36 kb)</t>
  </si>
  <si>
    <t>#Input Memory(BRAMa)</t>
  </si>
  <si>
    <t>delay layer(cycles)</t>
  </si>
  <si>
    <t>#cycles for last pixel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</si>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</sst>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D1" sqref="D1:E1"/>
    </sheetView>
  </sheetViews>
  <sheetFormatPr defaultRowHeight="15" x14ac:dyDescent="0.25"/>
  <cols>
    <col min="1" max="1" width="27.140625" style="3" bestFit="1" customWidth="1"/>
    <col min="2" max="2" width="27.28515625" style="3" customWidth="1"/>
    <col min="3" max="3" width="31" style="3" customWidth="1"/>
    <col min="4" max="4" width="29.85546875" style="3" customWidth="1"/>
    <col min="5" max="5" width="23.140625" style="3" customWidth="1"/>
    <col min="6" max="9" width="9.140625" style="3"/>
    <col min="10" max="12" width="15.7109375" style="3" customWidth="1"/>
    <col min="13" max="13" width="16" style="3" customWidth="1"/>
    <col min="14" max="14" width="11.7109375" style="3" customWidth="1"/>
    <col min="15" max="15" width="16.85546875" style="3" customWidth="1"/>
    <col min="16" max="16" width="9.42578125" style="3" customWidth="1"/>
    <col min="17" max="17" width="19.5703125" style="3" bestFit="1" customWidth="1"/>
    <col min="18" max="18" width="9.140625" style="3"/>
    <col min="19" max="19" width="22.85546875" style="3" bestFit="1" customWidth="1"/>
    <col min="20" max="20" width="22.42578125" style="3" bestFit="1" customWidth="1"/>
    <col min="21" max="21" width="11" style="3" bestFit="1" customWidth="1"/>
    <col min="22" max="16384" width="9.140625" style="3"/>
  </cols>
  <sheetData>
    <row r="1" spans="1:21" x14ac:dyDescent="0.25">
      <c r="A1" s="1" t="s">
        <v>0</v>
      </c>
      <c r="B1" s="2" t="s">
        <v>1</v>
      </c>
      <c r="C1" s="2" t="s">
        <v>2</v>
      </c>
      <c r="D1" s="2" t="s">
        <v>53</v>
      </c>
      <c r="E1" s="2" t="s">
        <v>54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47</v>
      </c>
      <c r="R1" s="2" t="s">
        <v>48</v>
      </c>
      <c r="S1" s="3" t="s">
        <v>14</v>
      </c>
      <c r="T1" s="3" t="s">
        <v>15</v>
      </c>
      <c r="U1" s="3" t="s">
        <v>16</v>
      </c>
    </row>
    <row r="2" spans="1:21" x14ac:dyDescent="0.25">
      <c r="A2" s="4" t="s">
        <v>17</v>
      </c>
      <c r="B2" s="5">
        <v>3</v>
      </c>
      <c r="C2" s="5">
        <v>96</v>
      </c>
      <c r="D2" s="5">
        <v>1</v>
      </c>
      <c r="E2" s="5">
        <v>3</v>
      </c>
      <c r="F2" s="5">
        <v>224</v>
      </c>
      <c r="G2" s="5">
        <v>224</v>
      </c>
      <c r="H2" s="5">
        <v>55</v>
      </c>
      <c r="I2" s="5">
        <v>55</v>
      </c>
      <c r="J2" s="5">
        <v>11</v>
      </c>
      <c r="K2" s="5">
        <v>3</v>
      </c>
      <c r="L2" s="5">
        <v>3</v>
      </c>
      <c r="M2" s="5">
        <f>POWER(_xlfn.CEILING.MATH(J2/L2),2)</f>
        <v>16</v>
      </c>
      <c r="N2" s="5">
        <f>POWER(_xlfn.CEILING.MATH(F2/4),2)</f>
        <v>3136</v>
      </c>
      <c r="O2" s="5">
        <f>B2*C2*K2*K2*M2/(D2*E2)</f>
        <v>13824</v>
      </c>
      <c r="P2" s="5">
        <f>D12*O2/9</f>
        <v>519168</v>
      </c>
      <c r="Q2" s="5">
        <f>0.5*J2*_xlfn.CEILING.MATH(B2/4)</f>
        <v>5.5</v>
      </c>
      <c r="R2" s="5">
        <f>(_xlfn.CEILING.MATH((J2*J2*2)/72))*B2*C2/E2</f>
        <v>384</v>
      </c>
      <c r="S2" s="3">
        <f>B2*L2*L2*8</f>
        <v>216</v>
      </c>
      <c r="T2" s="3">
        <f>B2*F2*G2*32</f>
        <v>4816896</v>
      </c>
      <c r="U2" s="3">
        <f>J2*J2*B2*C2*32</f>
        <v>1115136</v>
      </c>
    </row>
    <row r="3" spans="1:21" x14ac:dyDescent="0.25">
      <c r="A3" s="4" t="s">
        <v>18</v>
      </c>
      <c r="B3" s="5">
        <v>48</v>
      </c>
      <c r="C3" s="5">
        <v>256</v>
      </c>
      <c r="D3" s="5">
        <v>1</v>
      </c>
      <c r="E3" s="5">
        <v>25</v>
      </c>
      <c r="F3" s="5">
        <v>27</v>
      </c>
      <c r="G3" s="5">
        <v>27</v>
      </c>
      <c r="H3" s="5">
        <v>27</v>
      </c>
      <c r="I3" s="5">
        <v>27</v>
      </c>
      <c r="J3" s="5">
        <v>5</v>
      </c>
      <c r="K3" s="5">
        <v>3</v>
      </c>
      <c r="L3" s="5">
        <v>3</v>
      </c>
      <c r="M3" s="5">
        <f>POWER(_xlfn.CEILING.MATH(J3/L3),2)</f>
        <v>4</v>
      </c>
      <c r="N3" s="5">
        <f>F3*G3</f>
        <v>729</v>
      </c>
      <c r="O3" s="5">
        <f>B3*C3*K3*K3*M3/(D3*E3)</f>
        <v>17694.72</v>
      </c>
      <c r="P3" s="5">
        <f>D12*O3/9</f>
        <v>664535.04000000004</v>
      </c>
      <c r="Q3" s="5">
        <f>0.5*J3*_xlfn.CEILING.MATH(B3/4)</f>
        <v>30</v>
      </c>
      <c r="R3" s="5">
        <f t="shared" ref="R3" si="0">(_xlfn.CEILING.MATH((J3*J3*2)/72))*B3*C3/E3</f>
        <v>491.52</v>
      </c>
      <c r="S3" s="3">
        <f>B3*L3*L3*8</f>
        <v>3456</v>
      </c>
      <c r="T3" s="3">
        <f>B3*F3*G3*32</f>
        <v>1119744</v>
      </c>
      <c r="U3" s="3">
        <f>J3*J3*B3*C3*32</f>
        <v>9830400</v>
      </c>
    </row>
    <row r="4" spans="1:21" x14ac:dyDescent="0.25">
      <c r="A4" s="4" t="s">
        <v>19</v>
      </c>
      <c r="B4" s="5">
        <v>256</v>
      </c>
      <c r="C4" s="5">
        <v>384</v>
      </c>
      <c r="D4" s="5">
        <v>1</v>
      </c>
      <c r="E4" s="5">
        <v>50</v>
      </c>
      <c r="F4" s="5">
        <v>13</v>
      </c>
      <c r="G4" s="5">
        <v>13</v>
      </c>
      <c r="H4" s="5">
        <v>13</v>
      </c>
      <c r="I4" s="5">
        <v>13</v>
      </c>
      <c r="J4" s="5">
        <v>3</v>
      </c>
      <c r="K4" s="5">
        <v>3</v>
      </c>
      <c r="L4" s="5">
        <v>3</v>
      </c>
      <c r="M4" s="5">
        <f>POWER(_xlfn.CEILING.MATH(J4/L4),2)</f>
        <v>1</v>
      </c>
      <c r="N4" s="5">
        <f>F4*G4</f>
        <v>169</v>
      </c>
      <c r="O4" s="5">
        <f>B4*C4*K4*K4*M4/(D4*E4)</f>
        <v>17694.72</v>
      </c>
      <c r="P4" s="5">
        <f>D12*O4/9</f>
        <v>664535.04000000004</v>
      </c>
      <c r="Q4" s="5">
        <f t="shared" ref="Q4:Q6" si="1">0.5*J4*_xlfn.CEILING.MATH(B4/4)</f>
        <v>96</v>
      </c>
      <c r="R4" s="5">
        <f>(_xlfn.CEILING.MATH((J4*J4*2)/72))*B4*C4/(E4*4)</f>
        <v>491.52</v>
      </c>
      <c r="S4" s="3">
        <f>B4*L4*L4*8</f>
        <v>18432</v>
      </c>
      <c r="T4" s="3">
        <f>B4*F4*G4*32</f>
        <v>1384448</v>
      </c>
      <c r="U4" s="3">
        <f>J4*J4*B4*C4*32</f>
        <v>28311552</v>
      </c>
    </row>
    <row r="5" spans="1:21" x14ac:dyDescent="0.25">
      <c r="A5" s="4" t="s">
        <v>20</v>
      </c>
      <c r="B5" s="5">
        <v>192</v>
      </c>
      <c r="C5" s="5">
        <v>384</v>
      </c>
      <c r="D5" s="5">
        <v>1</v>
      </c>
      <c r="E5" s="5">
        <v>38</v>
      </c>
      <c r="F5" s="5">
        <v>13</v>
      </c>
      <c r="G5" s="5">
        <v>13</v>
      </c>
      <c r="H5" s="5">
        <v>13</v>
      </c>
      <c r="I5" s="5">
        <v>13</v>
      </c>
      <c r="J5" s="5">
        <v>3</v>
      </c>
      <c r="K5" s="5">
        <v>3</v>
      </c>
      <c r="L5" s="5">
        <v>3</v>
      </c>
      <c r="M5" s="5">
        <f>POWER(_xlfn.CEILING.MATH(J5/L5),2)</f>
        <v>1</v>
      </c>
      <c r="N5" s="5">
        <f>F5*G5</f>
        <v>169</v>
      </c>
      <c r="O5" s="5">
        <f>B5*C5*K5*K5*M5/(D5*E5)</f>
        <v>17461.894736842107</v>
      </c>
      <c r="P5" s="5">
        <f>D12*O5/9</f>
        <v>655791.15789473685</v>
      </c>
      <c r="Q5" s="5">
        <f t="shared" si="1"/>
        <v>72</v>
      </c>
      <c r="R5" s="5">
        <f t="shared" ref="R5:R6" si="2">(_xlfn.CEILING.MATH((J5*J5*2)/72))*B5*C5/(E5*4)</f>
        <v>485.05263157894734</v>
      </c>
      <c r="S5" s="3">
        <f>B5*L5*L5*8</f>
        <v>13824</v>
      </c>
      <c r="T5" s="3">
        <f>B5*F5*G5*32</f>
        <v>1038336</v>
      </c>
      <c r="U5" s="3">
        <f>J5*J5*B5*C5*32</f>
        <v>21233664</v>
      </c>
    </row>
    <row r="6" spans="1:21" x14ac:dyDescent="0.25">
      <c r="A6" s="4" t="s">
        <v>21</v>
      </c>
      <c r="B6" s="5">
        <v>192</v>
      </c>
      <c r="C6" s="5">
        <v>256</v>
      </c>
      <c r="D6" s="5">
        <v>1</v>
      </c>
      <c r="E6" s="5">
        <v>25</v>
      </c>
      <c r="F6" s="5">
        <v>13</v>
      </c>
      <c r="G6" s="5">
        <v>13</v>
      </c>
      <c r="H6" s="5">
        <v>13</v>
      </c>
      <c r="I6" s="5">
        <v>13</v>
      </c>
      <c r="J6" s="5">
        <v>3</v>
      </c>
      <c r="K6" s="5">
        <v>3</v>
      </c>
      <c r="L6" s="5">
        <v>3</v>
      </c>
      <c r="M6" s="5">
        <f>POWER(_xlfn.CEILING.MATH(J6/L6),2)</f>
        <v>1</v>
      </c>
      <c r="N6" s="5">
        <f>F6*G6</f>
        <v>169</v>
      </c>
      <c r="O6" s="5">
        <f>B6*C6*K6*K6*M6/(D6*E6)</f>
        <v>17694.72</v>
      </c>
      <c r="P6" s="5">
        <f>D12*O6/9</f>
        <v>664535.04000000004</v>
      </c>
      <c r="Q6" s="5">
        <f t="shared" si="1"/>
        <v>72</v>
      </c>
      <c r="R6" s="5">
        <f t="shared" si="2"/>
        <v>491.52</v>
      </c>
      <c r="S6" s="3">
        <f>B6*L6*L6*8</f>
        <v>13824</v>
      </c>
      <c r="T6" s="3">
        <f>B6*F6*G6*32</f>
        <v>1038336</v>
      </c>
      <c r="U6" s="3">
        <f>J6*J6*B6*C6*32</f>
        <v>14155776</v>
      </c>
    </row>
    <row r="7" spans="1:21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21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21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21" ht="15.75" thickBot="1" x14ac:dyDescent="0.3">
      <c r="A10" s="6" t="s">
        <v>22</v>
      </c>
      <c r="B10" s="7"/>
      <c r="C10" s="12"/>
      <c r="D10" s="12"/>
      <c r="E10" s="12"/>
      <c r="F10" s="12"/>
      <c r="G10" s="7"/>
      <c r="H10" s="7"/>
      <c r="I10" s="7"/>
      <c r="J10" s="7"/>
      <c r="K10" s="7"/>
      <c r="L10" s="7"/>
      <c r="M10" s="7"/>
      <c r="N10" s="8" t="s">
        <v>46</v>
      </c>
      <c r="O10" s="7">
        <f>MAX(O2:O6)</f>
        <v>17694.72</v>
      </c>
      <c r="P10" s="7">
        <f>MAX(P2:P6)</f>
        <v>664535.04000000004</v>
      </c>
      <c r="Q10" s="7">
        <f>MAX(Q2:Q9)</f>
        <v>96</v>
      </c>
      <c r="R10" s="7">
        <f>MAX(R2:R9)</f>
        <v>491.52</v>
      </c>
      <c r="S10" s="3">
        <f>MAX(S2:S6)</f>
        <v>18432</v>
      </c>
      <c r="T10" s="3">
        <f>SUM(T2:T9)</f>
        <v>9397760</v>
      </c>
      <c r="U10" s="3">
        <f>SUM(U2:U9)</f>
        <v>74646528</v>
      </c>
    </row>
    <row r="11" spans="1:21" x14ac:dyDescent="0.25">
      <c r="A11" s="3" t="s">
        <v>23</v>
      </c>
      <c r="B11" s="3">
        <v>391696000</v>
      </c>
      <c r="C11" s="14" t="s">
        <v>27</v>
      </c>
      <c r="D11" s="15" t="s">
        <v>28</v>
      </c>
      <c r="E11" s="16" t="s">
        <v>45</v>
      </c>
      <c r="F11" s="17"/>
    </row>
    <row r="12" spans="1:21" x14ac:dyDescent="0.25">
      <c r="A12" s="3" t="s">
        <v>24</v>
      </c>
      <c r="B12" s="3">
        <f>2*O10*B11/1000000000000</f>
        <v>13.861902090239999</v>
      </c>
      <c r="C12" s="18" t="s">
        <v>32</v>
      </c>
      <c r="D12" s="13">
        <v>338</v>
      </c>
      <c r="E12" s="11" t="s">
        <v>42</v>
      </c>
      <c r="F12" s="19">
        <v>178000</v>
      </c>
    </row>
    <row r="13" spans="1:21" ht="15.75" thickBot="1" x14ac:dyDescent="0.3">
      <c r="A13" s="3" t="s">
        <v>25</v>
      </c>
      <c r="B13" s="3">
        <f>(P10/(F12*4))*100</f>
        <v>93.333573033707879</v>
      </c>
      <c r="C13" s="6"/>
      <c r="D13" s="7"/>
      <c r="E13" s="22" t="s">
        <v>49</v>
      </c>
      <c r="F13" s="23">
        <v>1880</v>
      </c>
      <c r="Q13" s="3">
        <f>0.5*J2*_xlfn.CEILING.MATH(B2/4)</f>
        <v>5.5</v>
      </c>
    </row>
    <row r="14" spans="1:21" x14ac:dyDescent="0.25">
      <c r="A14" s="3" t="s">
        <v>26</v>
      </c>
      <c r="B14" s="3">
        <f>(Q10+R10)*100/( F13)</f>
        <v>31.251063829787235</v>
      </c>
    </row>
    <row r="16" spans="1:21" x14ac:dyDescent="0.25">
      <c r="D16" s="3" t="s">
        <v>39</v>
      </c>
    </row>
    <row r="17" spans="1:8" x14ac:dyDescent="0.25">
      <c r="A17" s="9" t="s">
        <v>29</v>
      </c>
      <c r="B17" s="9" t="s">
        <v>30</v>
      </c>
      <c r="C17" s="9" t="s">
        <v>31</v>
      </c>
      <c r="D17" s="9" t="s">
        <v>40</v>
      </c>
      <c r="E17" s="9" t="s">
        <v>38</v>
      </c>
      <c r="H17" s="3">
        <f>C2/E2</f>
        <v>32</v>
      </c>
    </row>
    <row r="18" spans="1:8" x14ac:dyDescent="0.25">
      <c r="A18" s="9" t="s">
        <v>33</v>
      </c>
      <c r="B18" s="9">
        <f>P2*100/(F12*4)</f>
        <v>72.916853932584274</v>
      </c>
      <c r="C18" s="10"/>
      <c r="D18" s="9">
        <f>(Q2+R2)*100/( F13)</f>
        <v>20.718085106382979</v>
      </c>
      <c r="E18" s="10"/>
      <c r="H18" s="3">
        <f t="shared" ref="H18:H21" si="3">C3/E3</f>
        <v>10.24</v>
      </c>
    </row>
    <row r="19" spans="1:8" x14ac:dyDescent="0.25">
      <c r="A19" s="9" t="s">
        <v>34</v>
      </c>
      <c r="B19" s="9">
        <f>P3*100/(F12*4)</f>
        <v>93.333573033707864</v>
      </c>
      <c r="C19" s="10"/>
      <c r="D19" s="9">
        <f>(Q3+R3)*100/( F13)</f>
        <v>27.740425531914894</v>
      </c>
      <c r="E19" s="10"/>
      <c r="H19" s="3">
        <f t="shared" si="3"/>
        <v>7.68</v>
      </c>
    </row>
    <row r="20" spans="1:8" x14ac:dyDescent="0.25">
      <c r="A20" s="9" t="s">
        <v>35</v>
      </c>
      <c r="B20" s="9">
        <f>P4*100/(F12*4)</f>
        <v>93.333573033707864</v>
      </c>
      <c r="C20" s="10"/>
      <c r="D20" s="9">
        <f>(Q4+R4)*100/( F13)</f>
        <v>31.251063829787235</v>
      </c>
      <c r="E20" s="10"/>
      <c r="H20" s="3">
        <f t="shared" si="3"/>
        <v>10.105263157894736</v>
      </c>
    </row>
    <row r="21" spans="1:8" x14ac:dyDescent="0.25">
      <c r="A21" s="9" t="s">
        <v>36</v>
      </c>
      <c r="B21" s="9">
        <f>P5*100/(F12*4)</f>
        <v>92.105499704316969</v>
      </c>
      <c r="C21" s="10"/>
      <c r="D21" s="9">
        <f>(Q5+R5)*100/( F13)</f>
        <v>29.630459126539748</v>
      </c>
      <c r="E21" s="10"/>
      <c r="H21" s="3">
        <f t="shared" si="3"/>
        <v>10.24</v>
      </c>
    </row>
    <row r="22" spans="1:8" x14ac:dyDescent="0.25">
      <c r="A22" s="9" t="s">
        <v>37</v>
      </c>
      <c r="B22" s="9">
        <f>P6*100/(F12*4)</f>
        <v>93.333573033707864</v>
      </c>
      <c r="C22" s="10"/>
      <c r="D22" s="9">
        <f>(Q6+R6)*100/( F13)</f>
        <v>29.974468085106384</v>
      </c>
      <c r="E22" s="10"/>
    </row>
    <row r="23" spans="1:8" x14ac:dyDescent="0.25">
      <c r="B23" s="3">
        <f>MAX(B18:B22)</f>
        <v>93.333573033707864</v>
      </c>
    </row>
    <row r="26" spans="1:8" x14ac:dyDescent="0.25">
      <c r="A26" s="3" t="s">
        <v>51</v>
      </c>
    </row>
    <row r="27" spans="1:8" x14ac:dyDescent="0.25">
      <c r="A27" s="3">
        <f>D2*E2*M2*N2</f>
        <v>150528</v>
      </c>
    </row>
    <row r="28" spans="1:8" x14ac:dyDescent="0.25">
      <c r="A28" s="3">
        <f>D3*E3*M3*N3</f>
        <v>72900</v>
      </c>
    </row>
    <row r="29" spans="1:8" x14ac:dyDescent="0.25">
      <c r="A29" s="3">
        <f t="shared" ref="A29:A31" si="4">D4*E4*M4*N4</f>
        <v>8450</v>
      </c>
    </row>
    <row r="30" spans="1:8" x14ac:dyDescent="0.25">
      <c r="A30" s="3">
        <f t="shared" si="4"/>
        <v>6422</v>
      </c>
    </row>
    <row r="31" spans="1:8" x14ac:dyDescent="0.25">
      <c r="A31" s="3">
        <f t="shared" si="4"/>
        <v>4225</v>
      </c>
      <c r="B31" s="3">
        <f>SUM(A27:A31)</f>
        <v>242525</v>
      </c>
    </row>
    <row r="32" spans="1:8" x14ac:dyDescent="0.25">
      <c r="A32" s="3" t="s">
        <v>52</v>
      </c>
      <c r="B32" s="3" t="e">
        <f>(#REF!*A27)+(B31)</f>
        <v>#REF!</v>
      </c>
    </row>
    <row r="34" spans="2:2" x14ac:dyDescent="0.25">
      <c r="B34" s="3">
        <f>B31*1000/B11</f>
        <v>0.61916639434663612</v>
      </c>
    </row>
  </sheetData>
  <conditionalFormatting sqref="M1:O1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D1" sqref="D1:E1"/>
    </sheetView>
  </sheetViews>
  <sheetFormatPr defaultRowHeight="15" x14ac:dyDescent="0.25"/>
  <cols>
    <col min="1" max="1" width="27.140625" style="3" bestFit="1" customWidth="1"/>
    <col min="2" max="2" width="27.28515625" style="3" customWidth="1"/>
    <col min="3" max="3" width="31" style="3" customWidth="1"/>
    <col min="4" max="4" width="29.85546875" style="3" customWidth="1"/>
    <col min="5" max="5" width="23.140625" style="3" customWidth="1"/>
    <col min="6" max="9" width="9.140625" style="3"/>
    <col min="10" max="12" width="15.7109375" style="3" customWidth="1"/>
    <col min="13" max="13" width="16" style="3" customWidth="1"/>
    <col min="14" max="14" width="11.7109375" style="3" customWidth="1"/>
    <col min="15" max="15" width="16.85546875" style="3" customWidth="1"/>
    <col min="16" max="16" width="9.42578125" style="3" customWidth="1"/>
    <col min="17" max="17" width="19.5703125" style="3" bestFit="1" customWidth="1"/>
    <col min="18" max="18" width="9.140625" style="3"/>
    <col min="19" max="19" width="22.85546875" style="3" bestFit="1" customWidth="1"/>
    <col min="20" max="20" width="22.42578125" style="3" bestFit="1" customWidth="1"/>
    <col min="21" max="21" width="11" style="3" bestFit="1" customWidth="1"/>
    <col min="22" max="16384" width="9.140625" style="3"/>
  </cols>
  <sheetData>
    <row r="1" spans="1:19" x14ac:dyDescent="0.25">
      <c r="A1" s="1" t="s">
        <v>0</v>
      </c>
      <c r="B1" s="2" t="s">
        <v>1</v>
      </c>
      <c r="C1" s="2" t="s">
        <v>2</v>
      </c>
      <c r="D1" s="2" t="s">
        <v>53</v>
      </c>
      <c r="E1" s="2" t="s">
        <v>54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50</v>
      </c>
      <c r="R1" s="2" t="s">
        <v>48</v>
      </c>
      <c r="S1" s="3" t="s">
        <v>14</v>
      </c>
    </row>
    <row r="2" spans="1:19" x14ac:dyDescent="0.25">
      <c r="A2" s="4" t="s">
        <v>17</v>
      </c>
      <c r="B2" s="5">
        <v>3</v>
      </c>
      <c r="C2" s="5">
        <v>96</v>
      </c>
      <c r="D2" s="5">
        <v>1</v>
      </c>
      <c r="E2" s="5">
        <v>8</v>
      </c>
      <c r="F2" s="5">
        <v>224</v>
      </c>
      <c r="G2" s="5">
        <v>224</v>
      </c>
      <c r="H2" s="5">
        <v>55</v>
      </c>
      <c r="I2" s="5">
        <v>55</v>
      </c>
      <c r="J2" s="5">
        <v>11</v>
      </c>
      <c r="K2" s="5">
        <v>3</v>
      </c>
      <c r="L2" s="5">
        <v>3</v>
      </c>
      <c r="M2" s="5">
        <f>POWER(_xlfn.CEILING.MATH(J2/L2),2)</f>
        <v>16</v>
      </c>
      <c r="N2" s="5">
        <f>POWER(_xlfn.CEILING.MATH(F2/4),2)</f>
        <v>3136</v>
      </c>
      <c r="O2" s="5">
        <f>B2*C2*K2*K2*M2/(D2*E2)</f>
        <v>5184</v>
      </c>
      <c r="P2" s="5">
        <f>D12*O2/9</f>
        <v>194688</v>
      </c>
      <c r="Q2" s="5">
        <f>0.5*J2*_xlfn.CEILING.MATH(B2/4)</f>
        <v>5.5</v>
      </c>
      <c r="R2" s="5">
        <f>(_xlfn.CEILING.MATH((J2*J2*2)/72))*B2*C2/E2</f>
        <v>144</v>
      </c>
      <c r="S2" s="3">
        <f>B2*L2*L2*8</f>
        <v>216</v>
      </c>
    </row>
    <row r="3" spans="1:19" x14ac:dyDescent="0.25">
      <c r="A3" s="4" t="s">
        <v>18</v>
      </c>
      <c r="B3" s="5">
        <v>48</v>
      </c>
      <c r="C3" s="5">
        <v>256</v>
      </c>
      <c r="D3" s="5">
        <v>1</v>
      </c>
      <c r="E3" s="5">
        <v>64</v>
      </c>
      <c r="F3" s="5">
        <v>27</v>
      </c>
      <c r="G3" s="5">
        <v>27</v>
      </c>
      <c r="H3" s="5">
        <v>27</v>
      </c>
      <c r="I3" s="5">
        <v>27</v>
      </c>
      <c r="J3" s="5">
        <v>5</v>
      </c>
      <c r="K3" s="5">
        <v>3</v>
      </c>
      <c r="L3" s="5">
        <v>3</v>
      </c>
      <c r="M3" s="5">
        <f>POWER(_xlfn.CEILING.MATH(J3/L3),2)</f>
        <v>4</v>
      </c>
      <c r="N3" s="5">
        <f>F3*G3</f>
        <v>729</v>
      </c>
      <c r="O3" s="5">
        <f>B3*C3*K3*K3*M3/(D3*E3)</f>
        <v>6912</v>
      </c>
      <c r="P3" s="5">
        <f>D12*O3/9</f>
        <v>259584</v>
      </c>
      <c r="Q3" s="5">
        <f t="shared" ref="Q3:Q6" si="0">0.5*J3*_xlfn.CEILING.MATH(B3/4)</f>
        <v>30</v>
      </c>
      <c r="R3" s="5">
        <f t="shared" ref="R3" si="1">(_xlfn.CEILING.MATH((J3*J3*2)/72))*B3*C3/E3</f>
        <v>192</v>
      </c>
      <c r="S3" s="3">
        <f>B3*L3*L3*8</f>
        <v>3456</v>
      </c>
    </row>
    <row r="4" spans="1:19" x14ac:dyDescent="0.25">
      <c r="A4" s="4" t="s">
        <v>19</v>
      </c>
      <c r="B4" s="5">
        <v>256</v>
      </c>
      <c r="C4" s="5">
        <v>384</v>
      </c>
      <c r="D4" s="5">
        <v>1</v>
      </c>
      <c r="E4" s="5">
        <v>120</v>
      </c>
      <c r="F4" s="5">
        <v>13</v>
      </c>
      <c r="G4" s="5">
        <v>13</v>
      </c>
      <c r="H4" s="5">
        <v>13</v>
      </c>
      <c r="I4" s="5">
        <v>13</v>
      </c>
      <c r="J4" s="5">
        <v>3</v>
      </c>
      <c r="K4" s="5">
        <v>3</v>
      </c>
      <c r="L4" s="5">
        <v>3</v>
      </c>
      <c r="M4" s="5">
        <f>POWER(_xlfn.CEILING.MATH(J4/L4),2)</f>
        <v>1</v>
      </c>
      <c r="N4" s="5">
        <f>F4*G4</f>
        <v>169</v>
      </c>
      <c r="O4" s="5">
        <f>B4*C4*K4*K4*M4/(D4*E4)</f>
        <v>7372.8</v>
      </c>
      <c r="P4" s="5">
        <f>D12*O4/9</f>
        <v>276889.59999999998</v>
      </c>
      <c r="Q4" s="5">
        <f t="shared" si="0"/>
        <v>96</v>
      </c>
      <c r="R4" s="5">
        <f>(_xlfn.CEILING.MATH((J4*J4*2)/72))*B4*C4/(E4*4)</f>
        <v>204.8</v>
      </c>
      <c r="S4" s="3">
        <f>B4*L4*L4*8</f>
        <v>18432</v>
      </c>
    </row>
    <row r="5" spans="1:19" x14ac:dyDescent="0.25">
      <c r="A5" s="4" t="s">
        <v>20</v>
      </c>
      <c r="B5" s="5">
        <v>192</v>
      </c>
      <c r="C5" s="5">
        <v>384</v>
      </c>
      <c r="D5" s="5">
        <v>1</v>
      </c>
      <c r="E5" s="5">
        <v>90</v>
      </c>
      <c r="F5" s="5">
        <v>13</v>
      </c>
      <c r="G5" s="5">
        <v>13</v>
      </c>
      <c r="H5" s="5">
        <v>13</v>
      </c>
      <c r="I5" s="5">
        <v>13</v>
      </c>
      <c r="J5" s="5">
        <v>3</v>
      </c>
      <c r="K5" s="5">
        <v>3</v>
      </c>
      <c r="L5" s="5">
        <v>3</v>
      </c>
      <c r="M5" s="5">
        <f>POWER(_xlfn.CEILING.MATH(J5/L5),2)</f>
        <v>1</v>
      </c>
      <c r="N5" s="5">
        <f>F5*G5</f>
        <v>169</v>
      </c>
      <c r="O5" s="5">
        <f>B5*C5*K5*K5*M5/(D5*E5)</f>
        <v>7372.8</v>
      </c>
      <c r="P5" s="5">
        <f>D12*O5/9</f>
        <v>276889.59999999998</v>
      </c>
      <c r="Q5" s="5">
        <f t="shared" si="0"/>
        <v>72</v>
      </c>
      <c r="R5" s="5">
        <f t="shared" ref="R5:R6" si="2">(_xlfn.CEILING.MATH((J5*J5*2)/72))*B5*C5/(E5*4)</f>
        <v>204.8</v>
      </c>
      <c r="S5" s="3">
        <f>B5*L5*L5*8</f>
        <v>13824</v>
      </c>
    </row>
    <row r="6" spans="1:19" x14ac:dyDescent="0.25">
      <c r="A6" s="4" t="s">
        <v>21</v>
      </c>
      <c r="B6" s="5">
        <v>192</v>
      </c>
      <c r="C6" s="5">
        <v>256</v>
      </c>
      <c r="D6" s="5">
        <v>1</v>
      </c>
      <c r="E6" s="5">
        <v>60</v>
      </c>
      <c r="F6" s="5">
        <v>13</v>
      </c>
      <c r="G6" s="5">
        <v>13</v>
      </c>
      <c r="H6" s="5">
        <v>13</v>
      </c>
      <c r="I6" s="5">
        <v>13</v>
      </c>
      <c r="J6" s="5">
        <v>3</v>
      </c>
      <c r="K6" s="5">
        <v>3</v>
      </c>
      <c r="L6" s="5">
        <v>3</v>
      </c>
      <c r="M6" s="5">
        <f>POWER(_xlfn.CEILING.MATH(J6/L6),2)</f>
        <v>1</v>
      </c>
      <c r="N6" s="5">
        <f>F6*G6</f>
        <v>169</v>
      </c>
      <c r="O6" s="5">
        <f>B6*C6*K6*K6*M6/(D6*E6)</f>
        <v>7372.8</v>
      </c>
      <c r="P6" s="5">
        <f>D12*O6/9</f>
        <v>276889.59999999998</v>
      </c>
      <c r="Q6" s="5">
        <f t="shared" si="0"/>
        <v>72</v>
      </c>
      <c r="R6" s="5">
        <f t="shared" si="2"/>
        <v>204.8</v>
      </c>
      <c r="S6" s="3">
        <f>B6*L6*L6*8</f>
        <v>13824</v>
      </c>
    </row>
    <row r="7" spans="1:19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9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9" ht="15.75" thickBot="1" x14ac:dyDescent="0.3">
      <c r="A10" s="6" t="s">
        <v>22</v>
      </c>
      <c r="B10" s="7"/>
      <c r="C10" s="12"/>
      <c r="D10" s="12"/>
      <c r="E10" s="12"/>
      <c r="F10" s="12"/>
      <c r="G10" s="7"/>
      <c r="H10" s="7"/>
      <c r="I10" s="7"/>
      <c r="J10" s="7"/>
      <c r="K10" s="7"/>
      <c r="L10" s="7"/>
      <c r="M10" s="7"/>
      <c r="N10" s="8" t="s">
        <v>46</v>
      </c>
      <c r="O10" s="7">
        <f>MAX(O2:O6)</f>
        <v>7372.8</v>
      </c>
      <c r="P10" s="7">
        <f>MAX(P2:P6)</f>
        <v>276889.59999999998</v>
      </c>
      <c r="Q10" s="7">
        <f>MAX(Q2:Q9)</f>
        <v>96</v>
      </c>
      <c r="R10" s="7">
        <f>MAX(R2:R9)</f>
        <v>204.8</v>
      </c>
      <c r="S10" s="3">
        <f>MAX(S2:S6)</f>
        <v>18432</v>
      </c>
    </row>
    <row r="11" spans="1:19" x14ac:dyDescent="0.25">
      <c r="A11" s="3" t="s">
        <v>23</v>
      </c>
      <c r="B11" s="3">
        <v>391696000</v>
      </c>
      <c r="C11" s="14" t="s">
        <v>27</v>
      </c>
      <c r="D11" s="15" t="s">
        <v>28</v>
      </c>
      <c r="E11" s="16" t="s">
        <v>43</v>
      </c>
      <c r="F11" s="17"/>
    </row>
    <row r="12" spans="1:19" x14ac:dyDescent="0.25">
      <c r="A12" s="3" t="s">
        <v>24</v>
      </c>
      <c r="B12" s="3">
        <f>2*O10*B11/1000000000000</f>
        <v>5.7757925376000001</v>
      </c>
      <c r="C12" s="18" t="s">
        <v>32</v>
      </c>
      <c r="D12" s="13">
        <v>338</v>
      </c>
      <c r="E12" s="11" t="s">
        <v>42</v>
      </c>
      <c r="F12" s="19">
        <v>74650</v>
      </c>
    </row>
    <row r="13" spans="1:19" ht="15.75" thickBot="1" x14ac:dyDescent="0.3">
      <c r="A13" s="3" t="s">
        <v>25</v>
      </c>
      <c r="B13" s="3">
        <f>(P10/(F12*4))*100</f>
        <v>92.729269926322829</v>
      </c>
      <c r="C13" s="6"/>
      <c r="D13" s="7"/>
      <c r="E13" s="22" t="s">
        <v>49</v>
      </c>
      <c r="F13" s="23">
        <f>955</f>
        <v>955</v>
      </c>
    </row>
    <row r="14" spans="1:19" x14ac:dyDescent="0.25">
      <c r="A14" s="3" t="s">
        <v>26</v>
      </c>
      <c r="B14" s="3">
        <f>(Q10+R10)*100/( F13)</f>
        <v>31.497382198952881</v>
      </c>
    </row>
    <row r="16" spans="1:19" x14ac:dyDescent="0.25">
      <c r="D16" s="3" t="s">
        <v>39</v>
      </c>
    </row>
    <row r="17" spans="1:5" x14ac:dyDescent="0.25">
      <c r="A17" s="9" t="s">
        <v>29</v>
      </c>
      <c r="B17" s="9" t="s">
        <v>30</v>
      </c>
      <c r="C17" s="9" t="s">
        <v>31</v>
      </c>
      <c r="D17" s="9" t="s">
        <v>40</v>
      </c>
      <c r="E17" s="9" t="s">
        <v>38</v>
      </c>
    </row>
    <row r="18" spans="1:5" x14ac:dyDescent="0.25">
      <c r="A18" s="9" t="s">
        <v>33</v>
      </c>
      <c r="B18" s="9">
        <f>P2*100/(F12*4)</f>
        <v>65.200267916945748</v>
      </c>
      <c r="C18" s="10"/>
      <c r="D18" s="9">
        <f>(Q2+R2)*100/( F13)</f>
        <v>15.654450261780104</v>
      </c>
      <c r="E18" s="10"/>
    </row>
    <row r="19" spans="1:5" x14ac:dyDescent="0.25">
      <c r="A19" s="9" t="s">
        <v>34</v>
      </c>
      <c r="B19" s="9">
        <f>P3*100/(F12*4)</f>
        <v>86.933690555927669</v>
      </c>
      <c r="C19" s="10"/>
      <c r="D19" s="9">
        <f>(Q3+R3)*100/( F13)</f>
        <v>23.246073298429319</v>
      </c>
      <c r="E19" s="10"/>
    </row>
    <row r="20" spans="1:5" x14ac:dyDescent="0.25">
      <c r="A20" s="9" t="s">
        <v>35</v>
      </c>
      <c r="B20" s="9">
        <f>P4*100/(F12*4)</f>
        <v>92.729269926322829</v>
      </c>
      <c r="C20" s="10"/>
      <c r="D20" s="9">
        <f>(Q4+R4)*100/( F13)</f>
        <v>31.497382198952881</v>
      </c>
      <c r="E20" s="10"/>
    </row>
    <row r="21" spans="1:5" x14ac:dyDescent="0.25">
      <c r="A21" s="9" t="s">
        <v>36</v>
      </c>
      <c r="B21" s="9">
        <f>P5*100/(F12*4)</f>
        <v>92.729269926322829</v>
      </c>
      <c r="C21" s="10"/>
      <c r="D21" s="9">
        <f>(Q5+R5)*100/( F13)</f>
        <v>28.984293193717278</v>
      </c>
      <c r="E21" s="10"/>
    </row>
    <row r="22" spans="1:5" x14ac:dyDescent="0.25">
      <c r="A22" s="9" t="s">
        <v>37</v>
      </c>
      <c r="B22" s="9">
        <f>P6*100/(F12*4)</f>
        <v>92.729269926322829</v>
      </c>
      <c r="C22" s="10"/>
      <c r="D22" s="9">
        <f>(Q6+R6)*100/( F13)</f>
        <v>28.984293193717278</v>
      </c>
      <c r="E22" s="10"/>
    </row>
  </sheetData>
  <conditionalFormatting sqref="M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D10" sqref="D10"/>
    </sheetView>
  </sheetViews>
  <sheetFormatPr defaultRowHeight="15" x14ac:dyDescent="0.25"/>
  <cols>
    <col min="1" max="1" width="27.140625" style="3" bestFit="1" customWidth="1"/>
    <col min="2" max="2" width="27.28515625" style="3" customWidth="1"/>
    <col min="3" max="3" width="31" style="3" customWidth="1"/>
    <col min="4" max="4" width="29.85546875" style="3" customWidth="1"/>
    <col min="5" max="5" width="23.140625" style="3" customWidth="1"/>
    <col min="6" max="9" width="9.140625" style="3"/>
    <col min="10" max="12" width="15.7109375" style="3" customWidth="1"/>
    <col min="13" max="13" width="16" style="3" customWidth="1"/>
    <col min="14" max="14" width="11.7109375" style="3" customWidth="1"/>
    <col min="15" max="15" width="16.85546875" style="3" customWidth="1"/>
    <col min="16" max="16" width="9.42578125" style="3" customWidth="1"/>
    <col min="17" max="17" width="19.5703125" style="3" bestFit="1" customWidth="1"/>
    <col min="18" max="18" width="9.140625" style="3"/>
    <col min="19" max="19" width="22.85546875" style="3" bestFit="1" customWidth="1"/>
    <col min="20" max="20" width="22.42578125" style="3" bestFit="1" customWidth="1"/>
    <col min="21" max="21" width="11" style="3" bestFit="1" customWidth="1"/>
    <col min="22" max="16384" width="9.140625" style="3"/>
  </cols>
  <sheetData>
    <row r="1" spans="1:19" x14ac:dyDescent="0.25">
      <c r="A1" s="1" t="s">
        <v>0</v>
      </c>
      <c r="B1" s="2" t="s">
        <v>1</v>
      </c>
      <c r="C1" s="2" t="s">
        <v>2</v>
      </c>
      <c r="D1" s="2" t="s">
        <v>53</v>
      </c>
      <c r="E1" s="2" t="s">
        <v>54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47</v>
      </c>
      <c r="R1" s="2" t="s">
        <v>48</v>
      </c>
      <c r="S1" s="3" t="s">
        <v>14</v>
      </c>
    </row>
    <row r="2" spans="1:19" x14ac:dyDescent="0.25">
      <c r="A2" s="4" t="s">
        <v>17</v>
      </c>
      <c r="B2" s="5">
        <v>3</v>
      </c>
      <c r="C2" s="5">
        <v>96</v>
      </c>
      <c r="D2" s="5">
        <v>1</v>
      </c>
      <c r="E2" s="5">
        <v>12</v>
      </c>
      <c r="F2" s="5">
        <v>224</v>
      </c>
      <c r="G2" s="5">
        <v>224</v>
      </c>
      <c r="H2" s="5">
        <v>55</v>
      </c>
      <c r="I2" s="5">
        <v>55</v>
      </c>
      <c r="J2" s="5">
        <v>11</v>
      </c>
      <c r="K2" s="5">
        <v>3</v>
      </c>
      <c r="L2" s="5">
        <v>3</v>
      </c>
      <c r="M2" s="5">
        <f>POWER(_xlfn.CEILING.MATH(J2/L2),2)</f>
        <v>16</v>
      </c>
      <c r="N2" s="5">
        <f>POWER(_xlfn.CEILING.MATH(F2/4),2)</f>
        <v>3136</v>
      </c>
      <c r="O2" s="5">
        <f>B2*C2*K2*K2*M2/(D2*E2)</f>
        <v>3456</v>
      </c>
      <c r="P2" s="5">
        <f>D12*O2/9</f>
        <v>129792</v>
      </c>
      <c r="Q2" s="5">
        <f>0.5*J2*_xlfn.CEILING.MATH(B2/4)</f>
        <v>5.5</v>
      </c>
      <c r="R2" s="5">
        <f>(_xlfn.CEILING.MATH((J2*J2*2)/72))*B2*C2/E2</f>
        <v>96</v>
      </c>
      <c r="S2" s="3">
        <f>B2*L2*L2*8</f>
        <v>216</v>
      </c>
    </row>
    <row r="3" spans="1:19" x14ac:dyDescent="0.25">
      <c r="A3" s="4" t="s">
        <v>18</v>
      </c>
      <c r="B3" s="5">
        <v>48</v>
      </c>
      <c r="C3" s="5">
        <v>256</v>
      </c>
      <c r="D3" s="5">
        <v>1</v>
      </c>
      <c r="E3" s="5">
        <v>128</v>
      </c>
      <c r="F3" s="5">
        <v>27</v>
      </c>
      <c r="G3" s="5">
        <v>27</v>
      </c>
      <c r="H3" s="5">
        <v>27</v>
      </c>
      <c r="I3" s="5">
        <v>27</v>
      </c>
      <c r="J3" s="5">
        <v>5</v>
      </c>
      <c r="K3" s="5">
        <v>3</v>
      </c>
      <c r="L3" s="5">
        <v>3</v>
      </c>
      <c r="M3" s="5">
        <f>POWER(_xlfn.CEILING.MATH(J3/L3),2)</f>
        <v>4</v>
      </c>
      <c r="N3" s="5">
        <f>F3*G3</f>
        <v>729</v>
      </c>
      <c r="O3" s="5">
        <f>B3*C3*K3*K3*M3/(D3*E3)</f>
        <v>3456</v>
      </c>
      <c r="P3" s="5">
        <f>D12*O3/9</f>
        <v>129792</v>
      </c>
      <c r="Q3" s="5">
        <f t="shared" ref="Q3:Q6" si="0">0.5*J3*_xlfn.CEILING.MATH(B3/4)</f>
        <v>30</v>
      </c>
      <c r="R3" s="5">
        <f t="shared" ref="R3" si="1">(_xlfn.CEILING.MATH((J3*J3*2)/72))*B3*C3/E3</f>
        <v>96</v>
      </c>
      <c r="S3" s="3">
        <f>B3*L3*L3*8</f>
        <v>3456</v>
      </c>
    </row>
    <row r="4" spans="1:19" x14ac:dyDescent="0.25">
      <c r="A4" s="4" t="s">
        <v>19</v>
      </c>
      <c r="B4" s="5">
        <v>256</v>
      </c>
      <c r="C4" s="5">
        <v>384</v>
      </c>
      <c r="D4" s="5">
        <v>1</v>
      </c>
      <c r="E4" s="5">
        <v>256</v>
      </c>
      <c r="F4" s="5">
        <v>13</v>
      </c>
      <c r="G4" s="5">
        <v>13</v>
      </c>
      <c r="H4" s="5">
        <v>13</v>
      </c>
      <c r="I4" s="5">
        <v>13</v>
      </c>
      <c r="J4" s="5">
        <v>3</v>
      </c>
      <c r="K4" s="5">
        <v>3</v>
      </c>
      <c r="L4" s="5">
        <v>3</v>
      </c>
      <c r="M4" s="5">
        <f>POWER(_xlfn.CEILING.MATH(J4/L4),2)</f>
        <v>1</v>
      </c>
      <c r="N4" s="5">
        <f>F4*G4</f>
        <v>169</v>
      </c>
      <c r="O4" s="5">
        <f>B4*C4*K4*K4*M4/(D4*E4)</f>
        <v>3456</v>
      </c>
      <c r="P4" s="5">
        <f>D12*O4/9</f>
        <v>129792</v>
      </c>
      <c r="Q4" s="5">
        <f t="shared" si="0"/>
        <v>96</v>
      </c>
      <c r="R4" s="5">
        <f>(_xlfn.CEILING.MATH((J4*J4*2)/72))*B4*C4/(E4*4)</f>
        <v>96</v>
      </c>
      <c r="S4" s="3">
        <f>B4*L4*L4*8</f>
        <v>18432</v>
      </c>
    </row>
    <row r="5" spans="1:19" x14ac:dyDescent="0.25">
      <c r="A5" s="4" t="s">
        <v>20</v>
      </c>
      <c r="B5" s="5">
        <v>192</v>
      </c>
      <c r="C5" s="5">
        <v>384</v>
      </c>
      <c r="D5" s="5">
        <v>1</v>
      </c>
      <c r="E5" s="5">
        <v>192</v>
      </c>
      <c r="F5" s="5">
        <v>13</v>
      </c>
      <c r="G5" s="5">
        <v>13</v>
      </c>
      <c r="H5" s="5">
        <v>13</v>
      </c>
      <c r="I5" s="5">
        <v>13</v>
      </c>
      <c r="J5" s="5">
        <v>3</v>
      </c>
      <c r="K5" s="5">
        <v>3</v>
      </c>
      <c r="L5" s="5">
        <v>3</v>
      </c>
      <c r="M5" s="5">
        <f>POWER(_xlfn.CEILING.MATH(J5/L5),2)</f>
        <v>1</v>
      </c>
      <c r="N5" s="5">
        <f>F5*G5</f>
        <v>169</v>
      </c>
      <c r="O5" s="5">
        <f>B5*C5*K5*K5*M5/(D5*E5)</f>
        <v>3456</v>
      </c>
      <c r="P5" s="5">
        <f>D12*O5/9</f>
        <v>129792</v>
      </c>
      <c r="Q5" s="5">
        <f t="shared" si="0"/>
        <v>72</v>
      </c>
      <c r="R5" s="5">
        <f t="shared" ref="R5:R6" si="2">(_xlfn.CEILING.MATH((J5*J5*2)/72))*B5*C5/(E5*4)</f>
        <v>96</v>
      </c>
      <c r="S5" s="3">
        <f>B5*L5*L5*8</f>
        <v>13824</v>
      </c>
    </row>
    <row r="6" spans="1:19" x14ac:dyDescent="0.25">
      <c r="A6" s="4" t="s">
        <v>21</v>
      </c>
      <c r="B6" s="5">
        <v>192</v>
      </c>
      <c r="C6" s="5">
        <v>256</v>
      </c>
      <c r="D6" s="5">
        <v>1</v>
      </c>
      <c r="E6" s="5">
        <v>128</v>
      </c>
      <c r="F6" s="5">
        <v>13</v>
      </c>
      <c r="G6" s="5">
        <v>13</v>
      </c>
      <c r="H6" s="5">
        <v>13</v>
      </c>
      <c r="I6" s="5">
        <v>13</v>
      </c>
      <c r="J6" s="5">
        <v>3</v>
      </c>
      <c r="K6" s="5">
        <v>3</v>
      </c>
      <c r="L6" s="5">
        <v>3</v>
      </c>
      <c r="M6" s="5">
        <f>POWER(_xlfn.CEILING.MATH(J6/L6),2)</f>
        <v>1</v>
      </c>
      <c r="N6" s="5">
        <f>F6*G6</f>
        <v>169</v>
      </c>
      <c r="O6" s="5">
        <f>B6*C6*K6*K6*M6/(D6*E6)</f>
        <v>3456</v>
      </c>
      <c r="P6" s="5">
        <f>D12*O6/9</f>
        <v>129792</v>
      </c>
      <c r="Q6" s="5">
        <f t="shared" si="0"/>
        <v>72</v>
      </c>
      <c r="R6" s="5">
        <f t="shared" si="2"/>
        <v>96</v>
      </c>
      <c r="S6" s="3">
        <f>B6*L6*L6*8</f>
        <v>13824</v>
      </c>
    </row>
    <row r="7" spans="1:19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9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9" ht="15.75" thickBot="1" x14ac:dyDescent="0.3">
      <c r="A10" s="6" t="s">
        <v>22</v>
      </c>
      <c r="B10" s="7"/>
      <c r="C10" s="12"/>
      <c r="D10" s="12"/>
      <c r="E10" s="12"/>
      <c r="F10" s="12"/>
      <c r="G10" s="7"/>
      <c r="H10" s="7"/>
      <c r="I10" s="7"/>
      <c r="J10" s="7"/>
      <c r="K10" s="7"/>
      <c r="L10" s="7"/>
      <c r="M10" s="7"/>
      <c r="N10" s="8" t="s">
        <v>46</v>
      </c>
      <c r="O10" s="7">
        <f>MAX(O2:O6)</f>
        <v>3456</v>
      </c>
      <c r="P10" s="7">
        <f>MAX(P2:P6)</f>
        <v>129792</v>
      </c>
      <c r="Q10" s="7">
        <f>MAX(Q2:Q9)</f>
        <v>96</v>
      </c>
      <c r="R10" s="7">
        <f>MAX(R2:R9)</f>
        <v>96</v>
      </c>
      <c r="S10" s="3">
        <f>MAX(S2:S6)</f>
        <v>18432</v>
      </c>
    </row>
    <row r="11" spans="1:19" x14ac:dyDescent="0.25">
      <c r="A11" s="3" t="s">
        <v>23</v>
      </c>
      <c r="B11" s="3">
        <v>391696000</v>
      </c>
      <c r="C11" s="14" t="s">
        <v>27</v>
      </c>
      <c r="D11" s="15" t="s">
        <v>28</v>
      </c>
      <c r="E11" s="16" t="s">
        <v>41</v>
      </c>
      <c r="F11" s="17"/>
    </row>
    <row r="12" spans="1:19" x14ac:dyDescent="0.25">
      <c r="A12" s="3" t="s">
        <v>24</v>
      </c>
      <c r="B12" s="3">
        <f>2*O10*B11/1000000000000</f>
        <v>2.7074027520000001</v>
      </c>
      <c r="C12" s="18" t="s">
        <v>32</v>
      </c>
      <c r="D12" s="13">
        <v>338</v>
      </c>
      <c r="E12" s="11" t="s">
        <v>42</v>
      </c>
      <c r="F12" s="19">
        <v>33650</v>
      </c>
    </row>
    <row r="13" spans="1:19" ht="15.75" thickBot="1" x14ac:dyDescent="0.3">
      <c r="A13" s="3" t="s">
        <v>25</v>
      </c>
      <c r="B13" s="3">
        <f>(P10/(F12*4))*100</f>
        <v>96.427934621099553</v>
      </c>
      <c r="C13" s="20"/>
      <c r="D13" s="21"/>
      <c r="E13" s="22" t="s">
        <v>49</v>
      </c>
      <c r="F13" s="23">
        <v>365</v>
      </c>
    </row>
    <row r="14" spans="1:19" x14ac:dyDescent="0.25">
      <c r="A14" s="3" t="s">
        <v>26</v>
      </c>
      <c r="B14" s="3">
        <f>(Q10+R10)*100/( F13)</f>
        <v>52.602739726027394</v>
      </c>
    </row>
    <row r="16" spans="1:19" x14ac:dyDescent="0.25">
      <c r="D16" s="3" t="s">
        <v>39</v>
      </c>
    </row>
    <row r="17" spans="1:5" x14ac:dyDescent="0.25">
      <c r="A17" s="9" t="s">
        <v>29</v>
      </c>
      <c r="B17" s="9" t="s">
        <v>30</v>
      </c>
      <c r="C17" s="9" t="s">
        <v>31</v>
      </c>
      <c r="D17" s="9" t="s">
        <v>40</v>
      </c>
      <c r="E17" s="9" t="s">
        <v>38</v>
      </c>
    </row>
    <row r="18" spans="1:5" x14ac:dyDescent="0.25">
      <c r="A18" s="9" t="s">
        <v>33</v>
      </c>
      <c r="B18" s="9">
        <f>P2*100/(F12*4)</f>
        <v>96.427934621099553</v>
      </c>
      <c r="C18" s="10"/>
      <c r="D18" s="9">
        <f>(Q2+R2)*100/( F13)</f>
        <v>27.80821917808219</v>
      </c>
      <c r="E18" s="10"/>
    </row>
    <row r="19" spans="1:5" x14ac:dyDescent="0.25">
      <c r="A19" s="9" t="s">
        <v>34</v>
      </c>
      <c r="B19" s="9">
        <f>P3*100/(F12*4)</f>
        <v>96.427934621099553</v>
      </c>
      <c r="C19" s="10"/>
      <c r="D19" s="9">
        <f>(Q3+R3)*100/( F13)</f>
        <v>34.520547945205479</v>
      </c>
      <c r="E19" s="10"/>
    </row>
    <row r="20" spans="1:5" x14ac:dyDescent="0.25">
      <c r="A20" s="9" t="s">
        <v>35</v>
      </c>
      <c r="B20" s="9">
        <f>P4*100/(F12*4)</f>
        <v>96.427934621099553</v>
      </c>
      <c r="C20" s="10"/>
      <c r="D20" s="9">
        <f>(Q4+R4)*100/( F13)</f>
        <v>52.602739726027394</v>
      </c>
      <c r="E20" s="10"/>
    </row>
    <row r="21" spans="1:5" x14ac:dyDescent="0.25">
      <c r="A21" s="9" t="s">
        <v>36</v>
      </c>
      <c r="B21" s="9">
        <f>P5*100/(F12*4)</f>
        <v>96.427934621099553</v>
      </c>
      <c r="C21" s="10"/>
      <c r="D21" s="9">
        <f>(Q5+R5)*100/( F13)</f>
        <v>46.027397260273972</v>
      </c>
      <c r="E21" s="10"/>
    </row>
    <row r="22" spans="1:5" x14ac:dyDescent="0.25">
      <c r="A22" s="9" t="s">
        <v>37</v>
      </c>
      <c r="B22" s="9">
        <f>P6*100/(F12*4)</f>
        <v>96.427934621099553</v>
      </c>
      <c r="C22" s="10"/>
      <c r="D22" s="9">
        <f>(Q6+R6)*100/( F13)</f>
        <v>46.027397260273972</v>
      </c>
      <c r="E22" s="10"/>
    </row>
  </sheetData>
  <conditionalFormatting sqref="M1:O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D1" sqref="D1:E1"/>
    </sheetView>
  </sheetViews>
  <sheetFormatPr defaultRowHeight="15" x14ac:dyDescent="0.25"/>
  <cols>
    <col min="1" max="1" width="27.140625" style="3" bestFit="1" customWidth="1"/>
    <col min="2" max="2" width="27.28515625" style="3" customWidth="1"/>
    <col min="3" max="3" width="31" style="3" customWidth="1"/>
    <col min="4" max="4" width="29.85546875" style="3" customWidth="1"/>
    <col min="5" max="5" width="23.140625" style="3" customWidth="1"/>
    <col min="6" max="9" width="9.140625" style="3"/>
    <col min="10" max="12" width="15.7109375" style="3" customWidth="1"/>
    <col min="13" max="13" width="16" style="3" customWidth="1"/>
    <col min="14" max="14" width="11.7109375" style="3" customWidth="1"/>
    <col min="15" max="15" width="16.85546875" style="3" customWidth="1"/>
    <col min="16" max="16" width="9.42578125" style="3" customWidth="1"/>
    <col min="17" max="17" width="19.5703125" style="3" bestFit="1" customWidth="1"/>
    <col min="18" max="18" width="9.140625" style="3"/>
    <col min="19" max="19" width="22.85546875" style="3" bestFit="1" customWidth="1"/>
    <col min="20" max="20" width="22.42578125" style="3" bestFit="1" customWidth="1"/>
    <col min="21" max="21" width="11" style="3" bestFit="1" customWidth="1"/>
    <col min="22" max="16384" width="9.140625" style="3"/>
  </cols>
  <sheetData>
    <row r="1" spans="1:19" x14ac:dyDescent="0.25">
      <c r="A1" s="1" t="s">
        <v>0</v>
      </c>
      <c r="B1" s="2" t="s">
        <v>1</v>
      </c>
      <c r="C1" s="2" t="s">
        <v>2</v>
      </c>
      <c r="D1" s="2" t="s">
        <v>53</v>
      </c>
      <c r="E1" s="2" t="s">
        <v>54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47</v>
      </c>
      <c r="R1" s="2" t="s">
        <v>48</v>
      </c>
      <c r="S1" s="3" t="s">
        <v>14</v>
      </c>
    </row>
    <row r="2" spans="1:19" x14ac:dyDescent="0.25">
      <c r="A2" s="4" t="s">
        <v>17</v>
      </c>
      <c r="B2" s="5">
        <v>3</v>
      </c>
      <c r="C2" s="5">
        <v>96</v>
      </c>
      <c r="D2" s="5">
        <v>1</v>
      </c>
      <c r="E2" s="5">
        <v>6</v>
      </c>
      <c r="F2" s="5">
        <v>224</v>
      </c>
      <c r="G2" s="5">
        <v>224</v>
      </c>
      <c r="H2" s="5">
        <v>55</v>
      </c>
      <c r="I2" s="5">
        <v>55</v>
      </c>
      <c r="J2" s="5">
        <v>11</v>
      </c>
      <c r="K2" s="5">
        <v>3</v>
      </c>
      <c r="L2" s="5">
        <v>3</v>
      </c>
      <c r="M2" s="5">
        <f>POWER(_xlfn.CEILING.MATH(J2/L2),2)</f>
        <v>16</v>
      </c>
      <c r="N2" s="5">
        <f>POWER(_xlfn.CEILING.MATH(F2/4),2)</f>
        <v>3136</v>
      </c>
      <c r="O2" s="5">
        <f>B2*C2*K2*K2*M2/(D2*E2)</f>
        <v>6912</v>
      </c>
      <c r="P2" s="5">
        <f>D12*O2/9</f>
        <v>259584</v>
      </c>
      <c r="Q2" s="5">
        <f>0.5*J2*_xlfn.CEILING.MATH(B2/4)</f>
        <v>5.5</v>
      </c>
      <c r="R2" s="5">
        <f>(_xlfn.CEILING.MATH((J2*J2*2)/72))*B2*C2/E2</f>
        <v>192</v>
      </c>
      <c r="S2" s="3">
        <f>B2*L2*L2*8</f>
        <v>216</v>
      </c>
    </row>
    <row r="3" spans="1:19" x14ac:dyDescent="0.25">
      <c r="A3" s="4" t="s">
        <v>18</v>
      </c>
      <c r="B3" s="5">
        <v>48</v>
      </c>
      <c r="C3" s="5">
        <v>256</v>
      </c>
      <c r="D3" s="5">
        <v>1</v>
      </c>
      <c r="E3" s="5">
        <v>64</v>
      </c>
      <c r="F3" s="5">
        <v>27</v>
      </c>
      <c r="G3" s="5">
        <v>27</v>
      </c>
      <c r="H3" s="5">
        <v>27</v>
      </c>
      <c r="I3" s="5">
        <v>27</v>
      </c>
      <c r="J3" s="5">
        <v>5</v>
      </c>
      <c r="K3" s="5">
        <v>3</v>
      </c>
      <c r="L3" s="5">
        <v>3</v>
      </c>
      <c r="M3" s="5">
        <f>POWER(_xlfn.CEILING.MATH(J3/L3),2)</f>
        <v>4</v>
      </c>
      <c r="N3" s="5">
        <f>F3*G3</f>
        <v>729</v>
      </c>
      <c r="O3" s="5">
        <f>B3*C3*K3*K3*M3/(D3*E3)</f>
        <v>6912</v>
      </c>
      <c r="P3" s="5">
        <f>D12*O3/9</f>
        <v>259584</v>
      </c>
      <c r="Q3" s="5">
        <f t="shared" ref="Q3:Q6" si="0">0.5*J3*_xlfn.CEILING.MATH(B3/4)</f>
        <v>30</v>
      </c>
      <c r="R3" s="5">
        <f t="shared" ref="R3" si="1">(_xlfn.CEILING.MATH((J3*J3*2)/72))*B3*C3/E3</f>
        <v>192</v>
      </c>
      <c r="S3" s="3">
        <f>B3*L3*L3*8</f>
        <v>3456</v>
      </c>
    </row>
    <row r="4" spans="1:19" x14ac:dyDescent="0.25">
      <c r="A4" s="4" t="s">
        <v>19</v>
      </c>
      <c r="B4" s="5">
        <v>256</v>
      </c>
      <c r="C4" s="5">
        <v>384</v>
      </c>
      <c r="D4" s="5">
        <v>1</v>
      </c>
      <c r="E4" s="5">
        <v>128</v>
      </c>
      <c r="F4" s="5">
        <v>13</v>
      </c>
      <c r="G4" s="5">
        <v>13</v>
      </c>
      <c r="H4" s="5">
        <v>13</v>
      </c>
      <c r="I4" s="5">
        <v>13</v>
      </c>
      <c r="J4" s="5">
        <v>3</v>
      </c>
      <c r="K4" s="5">
        <v>3</v>
      </c>
      <c r="L4" s="5">
        <v>3</v>
      </c>
      <c r="M4" s="5">
        <f>POWER(_xlfn.CEILING.MATH(J4/L4),2)</f>
        <v>1</v>
      </c>
      <c r="N4" s="5">
        <f>F4*G4</f>
        <v>169</v>
      </c>
      <c r="O4" s="5">
        <f>B4*C4*K4*K4*M4/(D4*E4)</f>
        <v>6912</v>
      </c>
      <c r="P4" s="5">
        <f>D12*O4/9</f>
        <v>259584</v>
      </c>
      <c r="Q4" s="5">
        <f t="shared" si="0"/>
        <v>96</v>
      </c>
      <c r="R4" s="5">
        <f>(_xlfn.CEILING.MATH((J4*J4*2)/72))*B4*C4/(E4*4)</f>
        <v>192</v>
      </c>
      <c r="S4" s="3">
        <f>B4*L4*L4*8</f>
        <v>18432</v>
      </c>
    </row>
    <row r="5" spans="1:19" x14ac:dyDescent="0.25">
      <c r="A5" s="4" t="s">
        <v>20</v>
      </c>
      <c r="B5" s="5">
        <v>192</v>
      </c>
      <c r="C5" s="5">
        <v>384</v>
      </c>
      <c r="D5" s="5">
        <v>1</v>
      </c>
      <c r="E5" s="5">
        <v>96</v>
      </c>
      <c r="F5" s="5">
        <v>13</v>
      </c>
      <c r="G5" s="5">
        <v>13</v>
      </c>
      <c r="H5" s="5">
        <v>13</v>
      </c>
      <c r="I5" s="5">
        <v>13</v>
      </c>
      <c r="J5" s="5">
        <v>3</v>
      </c>
      <c r="K5" s="5">
        <v>3</v>
      </c>
      <c r="L5" s="5">
        <v>3</v>
      </c>
      <c r="M5" s="5">
        <f>POWER(_xlfn.CEILING.MATH(J5/L5),2)</f>
        <v>1</v>
      </c>
      <c r="N5" s="5">
        <f>F5*G5</f>
        <v>169</v>
      </c>
      <c r="O5" s="5">
        <f>B5*C5*K5*K5*M5/(D5*E5)</f>
        <v>6912</v>
      </c>
      <c r="P5" s="5">
        <f>D12*O5/9</f>
        <v>259584</v>
      </c>
      <c r="Q5" s="5">
        <f t="shared" si="0"/>
        <v>72</v>
      </c>
      <c r="R5" s="5">
        <f t="shared" ref="R5:R6" si="2">(_xlfn.CEILING.MATH((J5*J5*2)/72))*B5*C5/(E5*4)</f>
        <v>192</v>
      </c>
      <c r="S5" s="3">
        <f>B5*L5*L5*8</f>
        <v>13824</v>
      </c>
    </row>
    <row r="6" spans="1:19" x14ac:dyDescent="0.25">
      <c r="A6" s="4" t="s">
        <v>21</v>
      </c>
      <c r="B6" s="5">
        <v>192</v>
      </c>
      <c r="C6" s="5">
        <v>256</v>
      </c>
      <c r="D6" s="5">
        <v>1</v>
      </c>
      <c r="E6" s="5">
        <v>64</v>
      </c>
      <c r="F6" s="5">
        <v>13</v>
      </c>
      <c r="G6" s="5">
        <v>13</v>
      </c>
      <c r="H6" s="5">
        <v>13</v>
      </c>
      <c r="I6" s="5">
        <v>13</v>
      </c>
      <c r="J6" s="5">
        <v>3</v>
      </c>
      <c r="K6" s="5">
        <v>3</v>
      </c>
      <c r="L6" s="5">
        <v>3</v>
      </c>
      <c r="M6" s="5">
        <f>POWER(_xlfn.CEILING.MATH(J6/L6),2)</f>
        <v>1</v>
      </c>
      <c r="N6" s="5">
        <f>F6*G6</f>
        <v>169</v>
      </c>
      <c r="O6" s="5">
        <f>B6*C6*K6*K6*M6/(D6*E6)</f>
        <v>6912</v>
      </c>
      <c r="P6" s="5">
        <f>D12*O6/9</f>
        <v>259584</v>
      </c>
      <c r="Q6" s="5">
        <f t="shared" si="0"/>
        <v>72</v>
      </c>
      <c r="R6" s="5">
        <f t="shared" si="2"/>
        <v>192</v>
      </c>
      <c r="S6" s="3">
        <f>B6*L6*L6*8</f>
        <v>13824</v>
      </c>
    </row>
    <row r="7" spans="1:19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9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9" ht="15.75" thickBot="1" x14ac:dyDescent="0.3">
      <c r="A10" s="6" t="s">
        <v>22</v>
      </c>
      <c r="B10" s="7"/>
      <c r="C10" s="12"/>
      <c r="D10" s="12"/>
      <c r="E10" s="12"/>
      <c r="F10" s="12"/>
      <c r="G10" s="7"/>
      <c r="H10" s="7"/>
      <c r="I10" s="7"/>
      <c r="J10" s="7"/>
      <c r="K10" s="7"/>
      <c r="L10" s="7"/>
      <c r="M10" s="7"/>
      <c r="N10" s="8" t="s">
        <v>46</v>
      </c>
      <c r="O10" s="7">
        <f>MAX(O2:O6)</f>
        <v>6912</v>
      </c>
      <c r="P10" s="7">
        <f>MAX(P2:P6)</f>
        <v>259584</v>
      </c>
      <c r="Q10" s="7">
        <f>MAX(Q2:Q9)</f>
        <v>96</v>
      </c>
      <c r="R10" s="7">
        <f>MAX(R2:R9)</f>
        <v>192</v>
      </c>
      <c r="S10" s="3">
        <f>MAX(S2:S6)</f>
        <v>18432</v>
      </c>
    </row>
    <row r="11" spans="1:19" x14ac:dyDescent="0.25">
      <c r="A11" s="3" t="s">
        <v>23</v>
      </c>
      <c r="B11" s="3">
        <v>391696000</v>
      </c>
      <c r="C11" s="14" t="s">
        <v>27</v>
      </c>
      <c r="D11" s="15" t="s">
        <v>28</v>
      </c>
      <c r="E11" s="16" t="s">
        <v>44</v>
      </c>
      <c r="F11" s="17"/>
    </row>
    <row r="12" spans="1:19" x14ac:dyDescent="0.25">
      <c r="A12" s="3" t="s">
        <v>24</v>
      </c>
      <c r="B12" s="3">
        <f>2*O10*B11/1000000000000</f>
        <v>5.4148055040000003</v>
      </c>
      <c r="C12" s="18" t="s">
        <v>32</v>
      </c>
      <c r="D12" s="13">
        <v>338</v>
      </c>
      <c r="E12" s="11" t="s">
        <v>42</v>
      </c>
      <c r="F12" s="19">
        <f>277400/4</f>
        <v>69350</v>
      </c>
    </row>
    <row r="13" spans="1:19" ht="15.75" thickBot="1" x14ac:dyDescent="0.3">
      <c r="A13" s="3" t="s">
        <v>25</v>
      </c>
      <c r="B13" s="3">
        <f>(P10/(F12*4))*100</f>
        <v>93.577505407353996</v>
      </c>
      <c r="C13" s="20"/>
      <c r="D13" s="21"/>
      <c r="E13" s="22" t="s">
        <v>49</v>
      </c>
      <c r="F13" s="23">
        <v>755</v>
      </c>
    </row>
    <row r="14" spans="1:19" x14ac:dyDescent="0.25">
      <c r="A14" s="3" t="s">
        <v>26</v>
      </c>
      <c r="B14" s="3">
        <f>(Q10+R10)*100/( F13)</f>
        <v>38.145695364238414</v>
      </c>
    </row>
    <row r="16" spans="1:19" x14ac:dyDescent="0.25">
      <c r="D16" s="3" t="s">
        <v>39</v>
      </c>
    </row>
    <row r="17" spans="1:5" x14ac:dyDescent="0.25">
      <c r="A17" s="9" t="s">
        <v>29</v>
      </c>
      <c r="B17" s="9" t="s">
        <v>30</v>
      </c>
      <c r="C17" s="9" t="s">
        <v>31</v>
      </c>
      <c r="D17" s="9" t="s">
        <v>40</v>
      </c>
      <c r="E17" s="9" t="s">
        <v>38</v>
      </c>
    </row>
    <row r="18" spans="1:5" x14ac:dyDescent="0.25">
      <c r="A18" s="9" t="s">
        <v>33</v>
      </c>
      <c r="B18" s="9">
        <f>P2*100/(F12*4)</f>
        <v>93.577505407353996</v>
      </c>
      <c r="C18" s="10"/>
      <c r="D18" s="9">
        <f>(Q2+R2)*100/( F13)</f>
        <v>26.158940397350992</v>
      </c>
      <c r="E18" s="10"/>
    </row>
    <row r="19" spans="1:5" x14ac:dyDescent="0.25">
      <c r="A19" s="9" t="s">
        <v>34</v>
      </c>
      <c r="B19" s="9">
        <f>P3*100/(F12*4)</f>
        <v>93.577505407353996</v>
      </c>
      <c r="C19" s="10"/>
      <c r="D19" s="9">
        <f>(Q3+R3)*100/( F13)</f>
        <v>29.403973509933774</v>
      </c>
      <c r="E19" s="10"/>
    </row>
    <row r="20" spans="1:5" x14ac:dyDescent="0.25">
      <c r="A20" s="9" t="s">
        <v>35</v>
      </c>
      <c r="B20" s="9">
        <f>P4*100/(F12*4)</f>
        <v>93.577505407353996</v>
      </c>
      <c r="C20" s="10"/>
      <c r="D20" s="9">
        <f>(Q4+R4)*100/( F13)</f>
        <v>38.145695364238414</v>
      </c>
      <c r="E20" s="10"/>
    </row>
    <row r="21" spans="1:5" x14ac:dyDescent="0.25">
      <c r="A21" s="9" t="s">
        <v>36</v>
      </c>
      <c r="B21" s="9">
        <f>P5*100/(F12*4)</f>
        <v>93.577505407353996</v>
      </c>
      <c r="C21" s="10"/>
      <c r="D21" s="9">
        <f>(Q5+R5)*100/( F13)</f>
        <v>34.966887417218544</v>
      </c>
      <c r="E21" s="10"/>
    </row>
    <row r="22" spans="1:5" x14ac:dyDescent="0.25">
      <c r="A22" s="9" t="s">
        <v>37</v>
      </c>
      <c r="B22" s="9">
        <f>P6*100/(F12*4)</f>
        <v>93.577505407353996</v>
      </c>
      <c r="C22" s="10"/>
      <c r="D22" s="9">
        <f>(Q6+R6)*100/( F13)</f>
        <v>34.966887417218544</v>
      </c>
      <c r="E22" s="10"/>
    </row>
  </sheetData>
  <conditionalFormatting sqref="M1:O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Virtex</vt:lpstr>
      <vt:lpstr>Kintex</vt:lpstr>
      <vt:lpstr>artix</vt:lpstr>
      <vt:lpstr>zync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Vibha Pant</dc:creator>
  <cp:lastModifiedBy>Vibha Pant</cp:lastModifiedBy>
  <dcterms:created xsi:type="dcterms:W3CDTF">2017-06-21T04:57:04Z</dcterms:created>
  <dcterms:modified xsi:type="dcterms:W3CDTF">2017-07-31T04:12:54Z</dcterms:modified>
</cp:coreProperties>
</file>