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General " sheetId="6" r:id="rId1"/>
    <sheet name="Major Procure items" sheetId="1" r:id="rId2"/>
    <sheet name="Service" sheetId="4" r:id="rId3"/>
    <sheet name="Marine Equipment" sheetId="3" r:id="rId4"/>
    <sheet name="Other Expenses Plus Fuel" sheetId="5" r:id="rId5"/>
    <sheet name="Safety requirments" sheetId="7" r:id="rId6"/>
    <sheet name="Welding (Ancillary Material.)" sheetId="8" r:id="rId7"/>
    <sheet name="Personnel" sheetId="9" r:id="rId8"/>
    <sheet name="Security" sheetId="10" r:id="rId9"/>
    <sheet name="Accomodation &amp; Feeding" sheetId="11" r:id="rId10"/>
    <sheet name="Additonal  Community costs" sheetId="12" r:id="rId11"/>
  </sheets>
  <calcPr calcId="144525"/>
</workbook>
</file>

<file path=xl/calcChain.xml><?xml version="1.0" encoding="utf-8"?>
<calcChain xmlns="http://schemas.openxmlformats.org/spreadsheetml/2006/main">
  <c r="H27" i="9" l="1"/>
  <c r="H12" i="5"/>
  <c r="J11" i="11"/>
  <c r="J12" i="11"/>
  <c r="J13" i="11"/>
  <c r="J14" i="11"/>
  <c r="J15" i="11"/>
  <c r="J16" i="11"/>
  <c r="J17" i="11"/>
  <c r="J18" i="11"/>
  <c r="J19" i="11"/>
  <c r="J20" i="11"/>
  <c r="J21" i="11"/>
  <c r="J22" i="11"/>
  <c r="J10" i="11"/>
  <c r="J8" i="11"/>
  <c r="J7" i="11"/>
  <c r="J6" i="11"/>
  <c r="K6" i="1"/>
  <c r="K5" i="1"/>
  <c r="I9" i="8"/>
  <c r="I8" i="8"/>
  <c r="I7" i="8"/>
  <c r="I52" i="8"/>
  <c r="I53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7" i="8"/>
  <c r="I31" i="8"/>
  <c r="I32" i="8"/>
  <c r="I30" i="8"/>
  <c r="I29" i="8"/>
  <c r="H30" i="8"/>
  <c r="H31" i="8"/>
  <c r="H32" i="8"/>
  <c r="I28" i="8"/>
  <c r="I26" i="8"/>
  <c r="I16" i="8"/>
  <c r="I15" i="8"/>
  <c r="I12" i="8"/>
  <c r="I10" i="8"/>
  <c r="H16" i="7"/>
  <c r="H15" i="7"/>
  <c r="H14" i="7"/>
  <c r="H13" i="7"/>
  <c r="H12" i="7"/>
  <c r="H11" i="7"/>
  <c r="H10" i="7"/>
  <c r="H9" i="7"/>
  <c r="H8" i="7"/>
  <c r="H6" i="7"/>
  <c r="J10" i="3"/>
  <c r="J12" i="3"/>
  <c r="J7" i="5"/>
  <c r="K7" i="1"/>
  <c r="L8" i="6"/>
  <c r="I55" i="8" l="1"/>
  <c r="H19" i="7"/>
  <c r="M51" i="8" l="1"/>
  <c r="H20" i="7" l="1"/>
  <c r="H7" i="7"/>
  <c r="J25" i="11" l="1"/>
  <c r="J24" i="11"/>
  <c r="I8" i="11"/>
  <c r="I9" i="11"/>
  <c r="J9" i="11"/>
  <c r="H23" i="9"/>
  <c r="H22" i="9"/>
  <c r="H21" i="9"/>
  <c r="H24" i="9"/>
  <c r="H25" i="9"/>
  <c r="H16" i="9"/>
  <c r="G25" i="9"/>
  <c r="J6" i="5"/>
  <c r="D6" i="5"/>
  <c r="L16" i="9" l="1"/>
  <c r="G24" i="9"/>
  <c r="I25" i="11"/>
  <c r="G22" i="9"/>
  <c r="G23" i="9"/>
  <c r="G17" i="9"/>
  <c r="G18" i="9"/>
  <c r="G19" i="9"/>
  <c r="G20" i="9"/>
  <c r="G21" i="9"/>
  <c r="J26" i="11" l="1"/>
  <c r="H13" i="9"/>
  <c r="J9" i="3"/>
  <c r="J10" i="5"/>
  <c r="J9" i="5"/>
  <c r="J8" i="5"/>
  <c r="H15" i="9"/>
  <c r="J5" i="3"/>
  <c r="J4" i="3"/>
  <c r="H10" i="9"/>
  <c r="E12" i="9"/>
  <c r="E11" i="9"/>
  <c r="I22" i="11" l="1"/>
  <c r="J16" i="10"/>
  <c r="I19" i="10"/>
  <c r="H14" i="9"/>
  <c r="H9" i="9"/>
  <c r="J14" i="5"/>
  <c r="J12" i="5"/>
  <c r="J14" i="3"/>
  <c r="J8" i="3"/>
  <c r="J7" i="3"/>
  <c r="J6" i="3"/>
  <c r="J9" i="4"/>
  <c r="K9" i="4"/>
  <c r="L9" i="6" l="1"/>
  <c r="L14" i="6"/>
  <c r="J14" i="10" l="1"/>
  <c r="G15" i="9"/>
  <c r="J9" i="10" l="1"/>
  <c r="J10" i="10"/>
  <c r="H6" i="3"/>
  <c r="H8" i="3"/>
  <c r="H10" i="5" l="1"/>
  <c r="H9" i="5"/>
  <c r="H8" i="5"/>
  <c r="I14" i="3" l="1"/>
  <c r="I9" i="4" l="1"/>
  <c r="J8" i="6" s="1"/>
  <c r="G15" i="7" l="1"/>
  <c r="H39" i="8"/>
  <c r="G16" i="9"/>
  <c r="G14" i="9"/>
  <c r="G13" i="9"/>
  <c r="G7" i="9"/>
  <c r="G8" i="9"/>
  <c r="G9" i="9"/>
  <c r="G10" i="9"/>
  <c r="G6" i="9"/>
  <c r="G11" i="9"/>
  <c r="G12" i="9"/>
  <c r="I7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3" i="11"/>
  <c r="I24" i="11"/>
  <c r="I6" i="11"/>
  <c r="I26" i="11" l="1"/>
  <c r="H12" i="10"/>
  <c r="J12" i="10" s="1"/>
  <c r="H15" i="10"/>
  <c r="H13" i="5"/>
  <c r="J13" i="5" s="1"/>
  <c r="H6" i="5"/>
  <c r="H7" i="5"/>
  <c r="J11" i="5"/>
  <c r="H29" i="8"/>
  <c r="H33" i="8"/>
  <c r="H34" i="8"/>
  <c r="H35" i="8"/>
  <c r="H36" i="8"/>
  <c r="H37" i="8"/>
  <c r="H3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55" i="8" s="1"/>
  <c r="H26" i="8"/>
  <c r="H28" i="8"/>
  <c r="H7" i="8"/>
  <c r="G27" i="9"/>
  <c r="J14" i="6" s="1"/>
  <c r="H7" i="10"/>
  <c r="J7" i="10" s="1"/>
  <c r="G7" i="7"/>
  <c r="G8" i="7"/>
  <c r="G9" i="7"/>
  <c r="G10" i="7"/>
  <c r="G11" i="7"/>
  <c r="G12" i="7"/>
  <c r="G13" i="7"/>
  <c r="G14" i="7"/>
  <c r="G16" i="7"/>
  <c r="G17" i="7"/>
  <c r="G6" i="7"/>
  <c r="J16" i="5" l="1"/>
  <c r="L11" i="6" s="1"/>
  <c r="J19" i="10"/>
  <c r="L15" i="6" s="1"/>
  <c r="I17" i="5"/>
  <c r="H16" i="5"/>
  <c r="G19" i="7"/>
  <c r="H19" i="10"/>
  <c r="J15" i="6" s="1"/>
  <c r="J12" i="6" l="1"/>
  <c r="L12" i="6"/>
  <c r="J13" i="6"/>
  <c r="H13" i="6"/>
  <c r="H14" i="6"/>
  <c r="H15" i="6"/>
  <c r="H5" i="3"/>
  <c r="H7" i="3"/>
  <c r="H9" i="3"/>
  <c r="H10" i="3"/>
  <c r="H12" i="3"/>
  <c r="H13" i="3"/>
  <c r="H4" i="3"/>
  <c r="H12" i="6"/>
  <c r="H11" i="6"/>
  <c r="H10" i="6"/>
  <c r="H9" i="6"/>
  <c r="H8" i="6"/>
  <c r="H7" i="6"/>
  <c r="I6" i="1"/>
  <c r="I7" i="1"/>
  <c r="I8" i="1"/>
  <c r="I9" i="1"/>
  <c r="I10" i="1"/>
  <c r="I5" i="1"/>
  <c r="K11" i="1" l="1"/>
  <c r="L7" i="6" s="1"/>
  <c r="I11" i="1"/>
  <c r="J7" i="6" s="1"/>
  <c r="H14" i="3"/>
  <c r="J10" i="6" s="1"/>
  <c r="J9" i="6" l="1"/>
  <c r="J11" i="6"/>
  <c r="J17" i="6" l="1"/>
  <c r="L22" i="6"/>
  <c r="J21" i="6"/>
  <c r="J27" i="6" s="1"/>
  <c r="J22" i="6" l="1"/>
  <c r="J23" i="6" s="1"/>
  <c r="J24" i="6" s="1"/>
  <c r="I27" i="6"/>
  <c r="L10" i="6"/>
  <c r="L13" i="6"/>
  <c r="L17" i="6" l="1"/>
  <c r="L19" i="6" s="1"/>
  <c r="M19" i="6" s="1"/>
</calcChain>
</file>

<file path=xl/comments1.xml><?xml version="1.0" encoding="utf-8"?>
<comments xmlns="http://schemas.openxmlformats.org/spreadsheetml/2006/main">
  <authors>
    <author>USER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Raph:</t>
        </r>
        <r>
          <rPr>
            <sz val="9"/>
            <color indexed="81"/>
            <rFont val="Tahoma"/>
            <family val="2"/>
          </rPr>
          <t xml:space="preserve">
This is the cost for the equipment slot for the community</t>
        </r>
      </text>
    </comment>
  </commentList>
</comments>
</file>

<file path=xl/sharedStrings.xml><?xml version="1.0" encoding="utf-8"?>
<sst xmlns="http://schemas.openxmlformats.org/spreadsheetml/2006/main" count="366" uniqueCount="242">
  <si>
    <t>S/N</t>
  </si>
  <si>
    <t>Description of Activity</t>
  </si>
  <si>
    <t>Qt'y</t>
  </si>
  <si>
    <t>UoM</t>
  </si>
  <si>
    <t>Rate</t>
  </si>
  <si>
    <t>Amount</t>
  </si>
  <si>
    <t>Remarks</t>
  </si>
  <si>
    <t>Emergency Restoration of Flowlines for Wells 45 (5.35Km) in Cawthone Chalnnel 3</t>
  </si>
  <si>
    <t>Dur.</t>
  </si>
  <si>
    <t>Elbow X56 PE coated</t>
  </si>
  <si>
    <t>Pipeline X56 PE coated 4" OD</t>
  </si>
  <si>
    <t xml:space="preserve">Canusa Shrink Sleeve 4" </t>
  </si>
  <si>
    <t>Joints</t>
  </si>
  <si>
    <t>Ea</t>
  </si>
  <si>
    <t>NDT (X-Ray)</t>
  </si>
  <si>
    <t>Surveying</t>
  </si>
  <si>
    <t>Pressure Testing/Hydrotesting</t>
  </si>
  <si>
    <t>Swamp Buggy</t>
  </si>
  <si>
    <t>Laybarge and all its appurtenances</t>
  </si>
  <si>
    <t>Services</t>
  </si>
  <si>
    <t>Cathodic Protection (CP)</t>
  </si>
  <si>
    <t xml:space="preserve">Total </t>
  </si>
  <si>
    <t xml:space="preserve"> </t>
  </si>
  <si>
    <r>
      <t xml:space="preserve"> </t>
    </r>
    <r>
      <rPr>
        <sz val="11"/>
        <color indexed="8"/>
        <rFont val="Calibri"/>
        <family val="2"/>
        <scheme val="minor"/>
      </rPr>
      <t>SITE NURSE</t>
    </r>
    <r>
      <rPr>
        <sz val="11"/>
        <rFont val="Calibri"/>
        <family val="2"/>
        <scheme val="minor"/>
      </rPr>
      <t xml:space="preserve"> </t>
    </r>
  </si>
  <si>
    <t xml:space="preserve">WELDERS </t>
  </si>
  <si>
    <t xml:space="preserve">FITTER </t>
  </si>
  <si>
    <t xml:space="preserve">GRINDERS </t>
  </si>
  <si>
    <t xml:space="preserve">LABOUR </t>
  </si>
  <si>
    <t xml:space="preserve">NDT </t>
  </si>
  <si>
    <t xml:space="preserve">HYDROTESTER </t>
  </si>
  <si>
    <t xml:space="preserve">SURVEYORS </t>
  </si>
  <si>
    <r>
      <t xml:space="preserve"> </t>
    </r>
    <r>
      <rPr>
        <sz val="11"/>
        <color indexed="8"/>
        <rFont val="Calibri"/>
        <family val="2"/>
        <scheme val="minor"/>
      </rPr>
      <t>COVERALL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</si>
  <si>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HANDGLOVES (HARD)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</si>
  <si>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RAIN COATS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</si>
  <si>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RAIN BOOTS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</si>
  <si>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S/N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</si>
  <si>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DESCRIPTION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</si>
  <si>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QTY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</si>
  <si>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UNIT COST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</si>
  <si>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TOTAL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</si>
  <si>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EYE GOOGLES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</si>
  <si>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FACE SHIELD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</si>
  <si>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HARD HAT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</si>
  <si>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HAND GLOVES (DOTTED)</t>
    </r>
    <r>
      <rPr>
        <sz val="11"/>
        <rFont val="Calibri"/>
        <family val="2"/>
        <scheme val="minor"/>
      </rPr>
      <t xml:space="preserve"> </t>
    </r>
  </si>
  <si>
    <t xml:space="preserve">DOZEN </t>
  </si>
  <si>
    <t xml:space="preserve"> PACK </t>
  </si>
  <si>
    <t>pcs</t>
  </si>
  <si>
    <r>
      <t xml:space="preserve"> </t>
    </r>
    <r>
      <rPr>
        <sz val="11"/>
        <color indexed="8"/>
        <rFont val="Calibri"/>
        <family val="2"/>
        <scheme val="minor"/>
      </rPr>
      <t>EAR PLUG</t>
    </r>
    <r>
      <rPr>
        <sz val="11"/>
        <rFont val="Calibri"/>
        <family val="2"/>
        <scheme val="minor"/>
      </rPr>
      <t xml:space="preserve"> </t>
    </r>
  </si>
  <si>
    <t>Security</t>
  </si>
  <si>
    <r>
      <t xml:space="preserve"> </t>
    </r>
    <r>
      <rPr>
        <sz val="11"/>
        <color indexed="8"/>
        <rFont val="Calibri"/>
        <family val="2"/>
        <scheme val="minor"/>
      </rPr>
      <t>LUMPSUM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</si>
  <si>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WATER FOR FLUSHING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</si>
  <si>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FTO SETTLEMENT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</si>
  <si>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S/N</t>
    </r>
    <r>
      <rPr>
        <b/>
        <sz val="12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</si>
  <si>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DESCRIPTION</t>
    </r>
    <r>
      <rPr>
        <b/>
        <sz val="12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</si>
  <si>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QTY</t>
    </r>
    <r>
      <rPr>
        <b/>
        <sz val="12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</si>
  <si>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UNIT COST</t>
    </r>
    <r>
      <rPr>
        <b/>
        <sz val="12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</si>
  <si>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DUR
(DAY)</t>
    </r>
    <r>
      <rPr>
        <b/>
        <sz val="12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</si>
  <si>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TOTAL COST</t>
    </r>
    <r>
      <rPr>
        <b/>
        <sz val="12"/>
        <rFont val="Calibri"/>
        <family val="2"/>
        <scheme val="minor"/>
      </rPr>
      <t xml:space="preserve"> 
(NGN)</t>
    </r>
  </si>
  <si>
    <r>
      <t xml:space="preserve"> CLIENT</t>
    </r>
    <r>
      <rPr>
        <sz val="11"/>
        <color indexed="8"/>
        <rFont val="Calibri"/>
        <family val="2"/>
        <scheme val="minor"/>
      </rPr>
      <t xml:space="preserve"> CSR</t>
    </r>
    <r>
      <rPr>
        <sz val="11"/>
        <rFont val="Calibri"/>
        <family val="2"/>
        <scheme val="minor"/>
      </rPr>
      <t xml:space="preserve"> </t>
    </r>
  </si>
  <si>
    <t xml:space="preserve">CATHODIC PROTECTION TEAM </t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</si>
  <si>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DURATION
</t>
    </r>
    <r>
      <rPr>
        <b/>
        <sz val="11"/>
        <rFont val="Calibri"/>
        <family val="2"/>
        <scheme val="minor"/>
      </rPr>
      <t xml:space="preserve">(DAY) </t>
    </r>
  </si>
  <si>
    <t xml:space="preserve">﻿S/N </t>
  </si>
  <si>
    <t xml:space="preserve">DESCRIPTION </t>
  </si>
  <si>
    <t xml:space="preserve">QTY </t>
  </si>
  <si>
    <t xml:space="preserve">TOTAL </t>
  </si>
  <si>
    <t xml:space="preserve">MATCHETS </t>
  </si>
  <si>
    <t xml:space="preserve">OXYGEN </t>
  </si>
  <si>
    <t xml:space="preserve">9" CUTTING DISC (FLEXOVITE) </t>
  </si>
  <si>
    <t xml:space="preserve">9" CUTTING DISC (POWER MASTER) </t>
  </si>
  <si>
    <t xml:space="preserve">4.5" CUTTING DISC </t>
  </si>
  <si>
    <t xml:space="preserve">9" GRINDING DISC </t>
  </si>
  <si>
    <t xml:space="preserve">CHAIN BLOCK </t>
  </si>
  <si>
    <t xml:space="preserve">POWER BRUSH </t>
  </si>
  <si>
    <t xml:space="preserve">UNIT COST </t>
  </si>
  <si>
    <t xml:space="preserve">CAUTION TAPE </t>
  </si>
  <si>
    <t xml:space="preserve">BERGER PAINT (GREEN) </t>
  </si>
  <si>
    <t xml:space="preserve">BERGER PAINT (BLACK) </t>
  </si>
  <si>
    <t xml:space="preserve">BERGER PAINT (YELLOW) </t>
  </si>
  <si>
    <t xml:space="preserve">SAND PAPER </t>
  </si>
  <si>
    <t xml:space="preserve">FIRE EXTINQUISHER </t>
  </si>
  <si>
    <t xml:space="preserve">PLAIN GLASS </t>
  </si>
  <si>
    <t xml:space="preserve">PROPANE GAS (12.5 KG) </t>
  </si>
  <si>
    <t xml:space="preserve">PROPANE TOUCH/HOSE </t>
  </si>
  <si>
    <r>
      <t xml:space="preserve"> </t>
    </r>
    <r>
      <rPr>
        <sz val="11"/>
        <color indexed="8"/>
        <rFont val="Calibri"/>
        <family val="2"/>
        <scheme val="minor"/>
      </rPr>
      <t>4’’CLAMP</t>
    </r>
    <r>
      <rPr>
        <sz val="11"/>
        <rFont val="Calibri"/>
        <family val="2"/>
        <scheme val="minor"/>
      </rPr>
      <t xml:space="preserve"> </t>
    </r>
  </si>
  <si>
    <t>Pcs.</t>
  </si>
  <si>
    <t>Tin</t>
  </si>
  <si>
    <t>DUR.</t>
  </si>
  <si>
    <t xml:space="preserve">MOBILE TOILET </t>
  </si>
  <si>
    <t xml:space="preserve">STATION GUARDS </t>
  </si>
  <si>
    <t xml:space="preserve">MISCELLENOUS </t>
  </si>
  <si>
    <t xml:space="preserve">SITE WATER </t>
  </si>
  <si>
    <t>DAYS</t>
  </si>
  <si>
    <t>LITRES</t>
  </si>
  <si>
    <t>DRUMS</t>
  </si>
  <si>
    <t xml:space="preserve">MANUAL EXCAVATION </t>
  </si>
  <si>
    <t>CARTONS</t>
  </si>
  <si>
    <t>PERSONS</t>
  </si>
  <si>
    <t>LUMPSUM</t>
  </si>
  <si>
    <t>Other Expenses</t>
  </si>
  <si>
    <r>
      <t xml:space="preserve"> </t>
    </r>
    <r>
      <rPr>
        <sz val="11"/>
        <color indexed="8"/>
        <rFont val="Calibri"/>
        <family val="2"/>
        <scheme val="minor"/>
      </rPr>
      <t>BLACK WASTE BAG</t>
    </r>
    <r>
      <rPr>
        <sz val="11"/>
        <rFont val="Calibri"/>
        <family val="2"/>
        <scheme val="minor"/>
      </rPr>
      <t xml:space="preserve"> </t>
    </r>
  </si>
  <si>
    <t>DOZEN</t>
  </si>
  <si>
    <r>
      <t xml:space="preserve"> </t>
    </r>
    <r>
      <rPr>
        <sz val="11"/>
        <color indexed="8"/>
        <rFont val="Calibri"/>
        <family val="2"/>
        <scheme val="minor"/>
      </rPr>
      <t>SPARK LIGHTER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</si>
  <si>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COPPER HAMMER (3KG)</t>
    </r>
  </si>
  <si>
    <r>
      <t xml:space="preserve"> </t>
    </r>
    <r>
      <rPr>
        <sz val="11"/>
        <color indexed="8"/>
        <rFont val="Calibri"/>
        <family val="2"/>
        <scheme val="minor"/>
      </rPr>
      <t>WELDERS UMBRELLA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</si>
  <si>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2  - WAY -RADIO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</si>
  <si>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WASTE BASKET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</si>
  <si>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PIPE MARKER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</si>
  <si>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GRINDING MACHINE (4.5’’)</t>
    </r>
  </si>
  <si>
    <r>
      <t xml:space="preserve"> </t>
    </r>
    <r>
      <rPr>
        <sz val="11"/>
        <color indexed="8"/>
        <rFont val="Calibri"/>
        <family val="2"/>
        <scheme val="minor"/>
      </rPr>
      <t>EXTENSION CABLE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</si>
  <si>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ELECTRODE QUIVER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</si>
  <si>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MASKING TAPE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</si>
  <si>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INSULATION TAPE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</si>
  <si>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36’’FLOGGING SPANNER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</si>
  <si>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41’’FLOGGING SPANNERS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</si>
  <si>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OXY/ACETY CUTTING-SET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</si>
  <si>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GRINDING MACHINE (9’’</t>
    </r>
    <r>
      <rPr>
        <sz val="11"/>
        <rFont val="Calibri"/>
        <family val="2"/>
        <scheme val="minor"/>
      </rPr>
      <t xml:space="preserve"> )</t>
    </r>
  </si>
  <si>
    <r>
      <t xml:space="preserve"> </t>
    </r>
    <r>
      <rPr>
        <sz val="11"/>
        <color indexed="8"/>
        <rFont val="Calibri"/>
        <family val="2"/>
        <scheme val="minor"/>
      </rPr>
      <t>HSE BOARD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</si>
  <si>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NOTICE BOARD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</si>
  <si>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32MM STUD BOLT/ NUT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</si>
  <si>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36MM STUD BOLT / NUT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</si>
  <si>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46MM STUD BOLT / NUT</t>
    </r>
    <r>
      <rPr>
        <sz val="11"/>
        <rFont val="Calibri"/>
        <family val="2"/>
        <scheme val="minor"/>
      </rPr>
      <t xml:space="preserve"> </t>
    </r>
  </si>
  <si>
    <t>ROLL</t>
  </si>
  <si>
    <r>
      <t xml:space="preserve"> CLIENT </t>
    </r>
    <r>
      <rPr>
        <sz val="11"/>
        <color indexed="8"/>
        <rFont val="Calibri"/>
        <family val="2"/>
        <scheme val="minor"/>
      </rPr>
      <t>HSE PR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</si>
  <si>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WORK VEST</t>
    </r>
    <r>
      <rPr>
        <sz val="11"/>
        <rFont val="Calibri"/>
        <family val="2"/>
        <scheme val="minor"/>
      </rPr>
      <t xml:space="preserve"> </t>
    </r>
  </si>
  <si>
    <t>Personnel</t>
  </si>
  <si>
    <r>
      <t xml:space="preserve"> </t>
    </r>
    <r>
      <rPr>
        <sz val="11"/>
        <color indexed="8"/>
        <rFont val="Calibri"/>
        <family val="2"/>
        <scheme val="minor"/>
      </rPr>
      <t>HAND FILE</t>
    </r>
    <r>
      <rPr>
        <sz val="11"/>
        <rFont val="Calibri"/>
        <family val="2"/>
        <scheme val="minor"/>
      </rPr>
      <t xml:space="preserve"> </t>
    </r>
  </si>
  <si>
    <t xml:space="preserve">Re-open Boundary,
Peg/Set out the line
Bush clearing
Supervise excavation
Pre-sounding of River-Crossing
Post sounding of River-Crossing
As-Built documentation
</t>
  </si>
  <si>
    <t>Project Engineer</t>
  </si>
  <si>
    <t>Site Nurse</t>
  </si>
  <si>
    <t xml:space="preserve">Welders </t>
  </si>
  <si>
    <t>Fitters</t>
  </si>
  <si>
    <t>Operator</t>
  </si>
  <si>
    <t>Operator Mate</t>
  </si>
  <si>
    <t>Grinder</t>
  </si>
  <si>
    <t>Dope Man</t>
  </si>
  <si>
    <t>Labour/Riggers</t>
  </si>
  <si>
    <t>Store man</t>
  </si>
  <si>
    <t>NDT crew</t>
  </si>
  <si>
    <t>Pressure testing crew</t>
  </si>
  <si>
    <t>Survey crew</t>
  </si>
  <si>
    <t>CP crew</t>
  </si>
  <si>
    <t>Tug Boat crew</t>
  </si>
  <si>
    <t>Total No.</t>
  </si>
  <si>
    <r>
      <t xml:space="preserve"> </t>
    </r>
    <r>
      <rPr>
        <b/>
        <sz val="11"/>
        <color indexed="8"/>
        <rFont val="Calibri"/>
        <family val="2"/>
        <scheme val="minor"/>
      </rPr>
      <t>TOTAL COST</t>
    </r>
    <r>
      <rPr>
        <b/>
        <sz val="11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 xml:space="preserve">
</t>
    </r>
    <r>
      <rPr>
        <b/>
        <sz val="9"/>
        <rFont val="Calibri"/>
        <family val="2"/>
        <scheme val="minor"/>
      </rPr>
      <t>(NGN)</t>
    </r>
  </si>
  <si>
    <r>
      <t xml:space="preserve">Feeding / </t>
    </r>
    <r>
      <rPr>
        <b/>
        <sz val="10"/>
        <color indexed="8"/>
        <rFont val="Calibri"/>
        <family val="2"/>
        <scheme val="minor"/>
      </rPr>
      <t>(Day)</t>
    </r>
  </si>
  <si>
    <r>
      <t xml:space="preserve"> </t>
    </r>
    <r>
      <rPr>
        <b/>
        <sz val="12"/>
        <color indexed="8"/>
        <rFont val="Calibri"/>
        <family val="2"/>
        <scheme val="minor"/>
      </rPr>
      <t xml:space="preserve">DUR
</t>
    </r>
    <r>
      <rPr>
        <b/>
        <sz val="8"/>
        <color indexed="8"/>
        <rFont val="Calibri"/>
        <family val="2"/>
        <scheme val="minor"/>
      </rPr>
      <t>(DAY)</t>
    </r>
    <r>
      <rPr>
        <b/>
        <sz val="12"/>
        <rFont val="Calibri"/>
        <family val="2"/>
        <scheme val="minor"/>
      </rPr>
      <t xml:space="preserve"> </t>
    </r>
  </si>
  <si>
    <r>
      <t xml:space="preserve">Accomodation/ </t>
    </r>
    <r>
      <rPr>
        <b/>
        <sz val="9"/>
        <color indexed="8"/>
        <rFont val="Calibri"/>
        <family val="2"/>
        <scheme val="minor"/>
      </rPr>
      <t>(</t>
    </r>
    <r>
      <rPr>
        <b/>
        <sz val="10"/>
        <color indexed="8"/>
        <rFont val="Calibri"/>
        <family val="2"/>
        <scheme val="minor"/>
      </rPr>
      <t>Day)</t>
    </r>
  </si>
  <si>
    <r>
      <t xml:space="preserve"> CLIENT </t>
    </r>
    <r>
      <rPr>
        <sz val="11"/>
        <color indexed="8"/>
        <rFont val="Calibri"/>
        <family val="2"/>
        <scheme val="minor"/>
      </rPr>
      <t>/ PRODUCTION CREW</t>
    </r>
    <r>
      <rPr>
        <sz val="11"/>
        <rFont val="Calibri"/>
        <family val="2"/>
        <scheme val="minor"/>
      </rPr>
      <t xml:space="preserve"> PR</t>
    </r>
  </si>
  <si>
    <t>TALLY CLERK</t>
  </si>
  <si>
    <t>LS</t>
  </si>
  <si>
    <t>DOPE MAN</t>
  </si>
  <si>
    <r>
      <rPr>
        <sz val="11"/>
        <color indexed="8"/>
        <rFont val="Calibri"/>
        <family val="2"/>
        <scheme val="minor"/>
      </rPr>
      <t>PROJECT ENGR</t>
    </r>
    <r>
      <rPr>
        <sz val="11"/>
        <rFont val="Calibri"/>
        <family val="2"/>
        <scheme val="minor"/>
      </rPr>
      <t xml:space="preserve"> </t>
    </r>
  </si>
  <si>
    <r>
      <rPr>
        <sz val="11"/>
        <color indexed="8"/>
        <rFont val="Calibri"/>
        <family val="2"/>
        <scheme val="minor"/>
      </rPr>
      <t>HSE OFFICER</t>
    </r>
    <r>
      <rPr>
        <sz val="11"/>
        <rFont val="Calibri"/>
        <family val="2"/>
        <scheme val="minor"/>
      </rPr>
      <t xml:space="preserve"> </t>
    </r>
  </si>
  <si>
    <t>SITE PERSONNEL SALARIES</t>
  </si>
  <si>
    <t>EA</t>
  </si>
  <si>
    <r>
      <t xml:space="preserve"> </t>
    </r>
    <r>
      <rPr>
        <sz val="11"/>
        <color indexed="8"/>
        <rFont val="Calibri"/>
        <family val="2"/>
        <scheme val="minor"/>
      </rPr>
      <t>10MM PLATE</t>
    </r>
    <r>
      <rPr>
        <sz val="11"/>
        <color indexed="8"/>
        <rFont val="Calibri"/>
        <family val="2"/>
        <scheme val="minor"/>
      </rPr>
      <t xml:space="preserve"> SHEET</t>
    </r>
    <r>
      <rPr>
        <sz val="11"/>
        <rFont val="Calibri"/>
        <family val="2"/>
        <scheme val="minor"/>
      </rPr>
      <t xml:space="preserve"> </t>
    </r>
  </si>
  <si>
    <t>WELDING MASK</t>
  </si>
  <si>
    <t>FIRST AID BOX</t>
  </si>
  <si>
    <t>BOX</t>
  </si>
  <si>
    <t>Bottle</t>
  </si>
  <si>
    <t>SET</t>
  </si>
  <si>
    <t>SHEET</t>
  </si>
  <si>
    <t>UNIT</t>
  </si>
  <si>
    <t xml:space="preserve">DETERGENT OMO </t>
  </si>
  <si>
    <t>BAG</t>
  </si>
  <si>
    <t xml:space="preserve">RAG </t>
  </si>
  <si>
    <t>Marine Equipment</t>
  </si>
  <si>
    <t>Safety Requirement</t>
  </si>
  <si>
    <t>Accommodation</t>
  </si>
  <si>
    <r>
      <t>Welding (</t>
    </r>
    <r>
      <rPr>
        <b/>
        <i/>
        <sz val="9"/>
        <color theme="1"/>
        <rFont val="Calibri"/>
        <family val="2"/>
        <scheme val="minor"/>
      </rPr>
      <t>Ancillary Material</t>
    </r>
    <r>
      <rPr>
        <sz val="11"/>
        <color theme="1"/>
        <rFont val="Calibri"/>
        <family val="2"/>
        <scheme val="minor"/>
      </rPr>
      <t>.)</t>
    </r>
  </si>
  <si>
    <t>CREW BOAT</t>
  </si>
  <si>
    <t>Mob cost 20% of Total cost less procured items</t>
  </si>
  <si>
    <t>DeMob cost 15% of Total cost less procured items</t>
  </si>
  <si>
    <t>GRAND TOTAL</t>
  </si>
  <si>
    <t>Other Details</t>
  </si>
  <si>
    <t>Mob/Demob costs (20% + 15%)</t>
  </si>
  <si>
    <t>Total cost less Procured items</t>
  </si>
  <si>
    <t>Balance 65%</t>
  </si>
  <si>
    <r>
      <t xml:space="preserve"> </t>
    </r>
    <r>
      <rPr>
        <b/>
        <sz val="11"/>
        <color indexed="8"/>
        <rFont val="Calibri"/>
        <family val="2"/>
        <scheme val="minor"/>
      </rPr>
      <t>SUB-TOTAL:</t>
    </r>
    <r>
      <rPr>
        <b/>
        <sz val="11"/>
        <rFont val="Calibri"/>
        <family val="2"/>
        <scheme val="minor"/>
      </rPr>
      <t xml:space="preserve"> </t>
    </r>
  </si>
  <si>
    <t>TOTAL</t>
  </si>
  <si>
    <t>Major Procured items</t>
  </si>
  <si>
    <t>SWAMP BUGGY DIESEL</t>
  </si>
  <si>
    <t>Generator FUEL</t>
  </si>
  <si>
    <t>Self Weld</t>
  </si>
  <si>
    <r>
      <t xml:space="preserve">Empty Sealed Iron Drums </t>
    </r>
    <r>
      <rPr>
        <sz val="11"/>
        <color rgb="FFFF0000"/>
        <rFont val="Calibri"/>
        <family val="2"/>
        <scheme val="minor"/>
      </rPr>
      <t>for River Crossing</t>
    </r>
  </si>
  <si>
    <t>Covered CREW BOAT for team</t>
  </si>
  <si>
    <r>
      <t xml:space="preserve"> </t>
    </r>
    <r>
      <rPr>
        <sz val="11"/>
        <color indexed="8"/>
        <rFont val="Calibri"/>
        <family val="2"/>
        <scheme val="minor"/>
      </rPr>
      <t>WELDERS / FITTERS PPE MONEY</t>
    </r>
    <r>
      <rPr>
        <sz val="11"/>
        <rFont val="Calibri"/>
        <family val="2"/>
        <scheme val="minor"/>
      </rPr>
      <t xml:space="preserve"> </t>
    </r>
  </si>
  <si>
    <t xml:space="preserve">1’ MARINE ROPE </t>
  </si>
  <si>
    <t>TIN</t>
  </si>
  <si>
    <r>
      <t xml:space="preserve"> </t>
    </r>
    <r>
      <rPr>
        <sz val="11"/>
        <color indexed="8"/>
        <rFont val="Calibri"/>
        <family val="2"/>
        <scheme val="minor"/>
      </rPr>
      <t>42’’FLOGGING SPANNERS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</si>
  <si>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JTF SECURITY</t>
    </r>
    <r>
      <rPr>
        <sz val="11"/>
        <rFont val="Calibri"/>
        <family val="2"/>
        <scheme val="minor"/>
      </rPr>
      <t xml:space="preserve"> SECURITY</t>
    </r>
  </si>
  <si>
    <t>90 cartons of AquaDana water @N2,500/carton Plus 30 bags of pure water.</t>
  </si>
  <si>
    <t>Actual</t>
  </si>
  <si>
    <t>LOCAL DIVERS</t>
  </si>
  <si>
    <t>PALDOS SCOPE</t>
  </si>
  <si>
    <t>TUG BOATS</t>
  </si>
  <si>
    <t>1 - to convey Swamp Buggy
1 - to convey Pipes etc</t>
  </si>
  <si>
    <t>Barge 1</t>
  </si>
  <si>
    <t>Barge 2</t>
  </si>
  <si>
    <t>Tug Boat 1</t>
  </si>
  <si>
    <t>Tug Boat 2</t>
  </si>
  <si>
    <r>
      <t xml:space="preserve"> </t>
    </r>
    <r>
      <rPr>
        <sz val="11"/>
        <color indexed="8"/>
        <rFont val="Calibri"/>
        <family val="2"/>
        <scheme val="minor"/>
      </rPr>
      <t>RECHARGE CARD FOR INSPECTORS</t>
    </r>
    <r>
      <rPr>
        <sz val="11"/>
        <rFont val="Calibri"/>
        <family val="2"/>
        <scheme val="minor"/>
      </rPr>
      <t xml:space="preserve"> &amp; Proj. Engr.</t>
    </r>
  </si>
  <si>
    <t xml:space="preserve">Actual </t>
  </si>
  <si>
    <t>L/S</t>
  </si>
  <si>
    <t>Actual Execution cost</t>
  </si>
  <si>
    <t>ENL Staff</t>
  </si>
  <si>
    <t>@N5000 per inch</t>
  </si>
  <si>
    <t>NA</t>
  </si>
  <si>
    <t>Actual cost is @7,500 per day</t>
  </si>
  <si>
    <t>Actual cost is @7,000 per day</t>
  </si>
  <si>
    <t>Quoted Cost</t>
  </si>
  <si>
    <t>NDT PERSONNEL</t>
  </si>
  <si>
    <t>For the Crew - 1Nos.
For Clients - 1Nos.</t>
  </si>
  <si>
    <r>
      <t xml:space="preserve"> </t>
    </r>
    <r>
      <rPr>
        <sz val="11"/>
        <color indexed="8"/>
        <rFont val="Calibri"/>
        <family val="2"/>
        <scheme val="minor"/>
      </rPr>
      <t>WELDERS &amp; FITTERS ASSOCIATION</t>
    </r>
    <r>
      <rPr>
        <sz val="11"/>
        <rFont val="Calibri"/>
        <family val="2"/>
        <scheme val="minor"/>
      </rPr>
      <t xml:space="preserve"> </t>
    </r>
  </si>
  <si>
    <t>NIGHT PIPELINE SECURITY</t>
  </si>
  <si>
    <t>NIGHT P/L SECURITY</t>
  </si>
  <si>
    <t>COMMUNITY WORKERS</t>
  </si>
  <si>
    <t>CLIENT SUPERVISOR</t>
  </si>
  <si>
    <t>CLO</t>
  </si>
  <si>
    <t>KRAKRAMA COMMUNITY CHANCE</t>
  </si>
  <si>
    <t xml:space="preserve"> COMPANY WORKERS BOAT </t>
  </si>
  <si>
    <t>CAWTHONE CHANNEL 3 COMM PERSONNEL WORKERS</t>
  </si>
  <si>
    <t>BILLE COMMUNITY CHANCE</t>
  </si>
  <si>
    <t>CLO (FOR 3 COMMUNITIES)</t>
  </si>
  <si>
    <t>SPEED BOAT CREW @2 EA</t>
  </si>
  <si>
    <t>Lumpsum for all the Tug boat movt.</t>
  </si>
  <si>
    <t>1 - to convey 1 nos. of Swamp Buggy on a barge
1 - to convey Pipes
1 - to push the Laybarge</t>
  </si>
  <si>
    <t>after lay/weld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</si>
  <si>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</si>
  <si>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Emergency Restoration of Flowlines for Wells 4 S (5.35Km) in Cawthone Channel 3</t>
  </si>
  <si>
    <t>6 CREW BOATS @40 LITRES EACH</t>
  </si>
  <si>
    <t>Drop off Pipe and leave</t>
  </si>
  <si>
    <t>Actual Qty</t>
  </si>
  <si>
    <r>
      <t xml:space="preserve"> QUOTED </t>
    </r>
    <r>
      <rPr>
        <b/>
        <sz val="11"/>
        <color indexed="8"/>
        <rFont val="Calibri"/>
        <family val="2"/>
        <scheme val="minor"/>
      </rPr>
      <t>TOTAL COST</t>
    </r>
    <r>
      <rPr>
        <b/>
        <sz val="11"/>
        <rFont val="Calibri"/>
        <family val="2"/>
        <scheme val="minor"/>
      </rPr>
      <t xml:space="preserve"> </t>
    </r>
  </si>
  <si>
    <r>
      <t xml:space="preserve">FLEET </t>
    </r>
    <r>
      <rPr>
        <b/>
        <sz val="11"/>
        <color rgb="FFFF0000"/>
        <rFont val="Calibri"/>
        <family val="2"/>
        <scheme val="minor"/>
      </rPr>
      <t>ELECTRODE</t>
    </r>
    <r>
      <rPr>
        <sz val="11"/>
        <color theme="1"/>
        <rFont val="Calibri"/>
        <family val="2"/>
        <scheme val="minor"/>
      </rPr>
      <t xml:space="preserve"> (6010) 2.5MM</t>
    </r>
  </si>
  <si>
    <r>
      <t xml:space="preserve">SHIELD ARC </t>
    </r>
    <r>
      <rPr>
        <b/>
        <sz val="11"/>
        <color rgb="FFFF0000"/>
        <rFont val="Calibri"/>
        <family val="2"/>
        <scheme val="minor"/>
      </rPr>
      <t>ELECTRODE</t>
    </r>
    <r>
      <rPr>
        <sz val="11"/>
        <color theme="1"/>
        <rFont val="Calibri"/>
        <family val="2"/>
        <scheme val="minor"/>
      </rPr>
      <t xml:space="preserve"> (7010) 3.2MM </t>
    </r>
  </si>
  <si>
    <t>LOW HYDROGEN G10 ROYAL ARC</t>
  </si>
  <si>
    <t>QC Officer / Tally Clerk</t>
  </si>
  <si>
    <t xml:space="preserve"> @8k/day</t>
  </si>
  <si>
    <t>EQUIPMENT LOSS COST</t>
  </si>
  <si>
    <t>COMMUNITY SKILLED WORKERS SLOT</t>
  </si>
  <si>
    <t>Extra cost for Equipt./Skilled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</si>
</sst>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24"/>
      <color rgb="FF202124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8"/>
      <color theme="1"/>
      <name val="AR BONNIE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rgb="FFFF0000"/>
      </bottom>
      <diagonal/>
    </border>
    <border>
      <left/>
      <right/>
      <top style="thick">
        <color auto="1"/>
      </top>
      <bottom style="thick">
        <color rgb="FFFF0000"/>
      </bottom>
      <diagonal/>
    </border>
    <border>
      <left/>
      <right style="thick">
        <color auto="1"/>
      </right>
      <top style="thick">
        <color auto="1"/>
      </top>
      <bottom style="thick">
        <color rgb="FFFF0000"/>
      </bottom>
      <diagonal/>
    </border>
    <border>
      <left/>
      <right style="medium">
        <color rgb="FF0070C0"/>
      </right>
      <top/>
      <bottom style="thick">
        <color auto="1"/>
      </bottom>
      <diagonal/>
    </border>
    <border>
      <left style="thick">
        <color auto="1"/>
      </left>
      <right style="medium">
        <color rgb="FF7030A0"/>
      </right>
      <top style="thick">
        <color rgb="FFFF0000"/>
      </top>
      <bottom style="medium">
        <color rgb="FF00B050"/>
      </bottom>
      <diagonal/>
    </border>
    <border>
      <left style="medium">
        <color rgb="FF7030A0"/>
      </left>
      <right style="medium">
        <color rgb="FF7030A0"/>
      </right>
      <top style="thick">
        <color rgb="FFFF0000"/>
      </top>
      <bottom style="medium">
        <color rgb="FF00B050"/>
      </bottom>
      <diagonal/>
    </border>
    <border>
      <left style="medium">
        <color rgb="FF7030A0"/>
      </left>
      <right style="thick">
        <color auto="1"/>
      </right>
      <top style="thick">
        <color rgb="FFFF0000"/>
      </top>
      <bottom style="medium">
        <color rgb="FF00B050"/>
      </bottom>
      <diagonal/>
    </border>
    <border>
      <left style="thick">
        <color auto="1"/>
      </left>
      <right style="medium">
        <color rgb="FF7030A0"/>
      </right>
      <top style="medium">
        <color rgb="FF00B050"/>
      </top>
      <bottom style="medium">
        <color rgb="FF00B050"/>
      </bottom>
      <diagonal/>
    </border>
    <border>
      <left style="medium">
        <color rgb="FF7030A0"/>
      </left>
      <right style="medium">
        <color rgb="FF7030A0"/>
      </right>
      <top style="medium">
        <color rgb="FF00B050"/>
      </top>
      <bottom style="medium">
        <color rgb="FF00B050"/>
      </bottom>
      <diagonal/>
    </border>
    <border>
      <left style="medium">
        <color rgb="FF7030A0"/>
      </left>
      <right style="thick">
        <color auto="1"/>
      </right>
      <top style="medium">
        <color rgb="FF00B050"/>
      </top>
      <bottom style="medium">
        <color rgb="FF00B050"/>
      </bottom>
      <diagonal/>
    </border>
    <border>
      <left style="thick">
        <color auto="1"/>
      </left>
      <right style="medium">
        <color rgb="FF7030A0"/>
      </right>
      <top style="medium">
        <color rgb="FF00B050"/>
      </top>
      <bottom style="medium">
        <color theme="3" tint="0.39994506668294322"/>
      </bottom>
      <diagonal/>
    </border>
    <border>
      <left style="medium">
        <color rgb="FF7030A0"/>
      </left>
      <right style="medium">
        <color rgb="FF7030A0"/>
      </right>
      <top style="medium">
        <color rgb="FF00B050"/>
      </top>
      <bottom style="medium">
        <color theme="3" tint="0.39994506668294322"/>
      </bottom>
      <diagonal/>
    </border>
    <border>
      <left style="medium">
        <color rgb="FF7030A0"/>
      </left>
      <right style="thick">
        <color auto="1"/>
      </right>
      <top style="medium">
        <color rgb="FF00B050"/>
      </top>
      <bottom style="medium">
        <color theme="3" tint="0.399945066682943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3" fontId="0" fillId="0" borderId="1" xfId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vertical="center" wrapText="1"/>
    </xf>
    <xf numFmtId="0" fontId="6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3" fontId="6" fillId="0" borderId="1" xfId="0" applyNumberFormat="1" applyFont="1" applyFill="1" applyBorder="1" applyAlignment="1" applyProtection="1">
      <alignment vertical="center"/>
    </xf>
    <xf numFmtId="3" fontId="0" fillId="0" borderId="1" xfId="0" applyNumberFormat="1" applyBorder="1" applyAlignment="1">
      <alignment vertical="center"/>
    </xf>
    <xf numFmtId="43" fontId="0" fillId="0" borderId="0" xfId="0" applyNumberFormat="1"/>
    <xf numFmtId="3" fontId="0" fillId="5" borderId="0" xfId="0" applyNumberFormat="1" applyFill="1"/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0" xfId="1" applyNumberFormat="1" applyFont="1"/>
    <xf numFmtId="0" fontId="6" fillId="0" borderId="1" xfId="0" applyNumberFormat="1" applyFont="1" applyFill="1" applyBorder="1" applyAlignment="1" applyProtection="1">
      <alignment horizontal="left" vertical="center"/>
    </xf>
    <xf numFmtId="3" fontId="6" fillId="0" borderId="1" xfId="0" applyNumberFormat="1" applyFont="1" applyFill="1" applyBorder="1" applyAlignment="1" applyProtection="1">
      <alignment horizontal="right" vertical="center"/>
    </xf>
    <xf numFmtId="0" fontId="0" fillId="0" borderId="1" xfId="0" applyFill="1" applyBorder="1" applyAlignment="1">
      <alignment horizontal="right" vertical="center"/>
    </xf>
    <xf numFmtId="164" fontId="9" fillId="4" borderId="0" xfId="1" applyNumberFormat="1" applyFont="1" applyFill="1"/>
    <xf numFmtId="164" fontId="6" fillId="0" borderId="1" xfId="1" applyNumberFormat="1" applyFont="1" applyFill="1" applyBorder="1" applyAlignment="1" applyProtection="1"/>
    <xf numFmtId="0" fontId="15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" fontId="9" fillId="4" borderId="1" xfId="0" applyNumberFormat="1" applyFont="1" applyFill="1" applyBorder="1" applyAlignment="1" applyProtection="1"/>
    <xf numFmtId="0" fontId="4" fillId="5" borderId="1" xfId="0" applyFon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6" fillId="0" borderId="1" xfId="0" applyNumberFormat="1" applyFont="1" applyFill="1" applyBorder="1" applyAlignment="1" applyProtection="1">
      <alignment horizontal="right" vertical="center"/>
    </xf>
    <xf numFmtId="164" fontId="6" fillId="0" borderId="1" xfId="1" applyNumberFormat="1" applyFont="1" applyFill="1" applyBorder="1" applyAlignment="1" applyProtection="1">
      <alignment horizontal="right" vertical="center"/>
    </xf>
    <xf numFmtId="3" fontId="9" fillId="0" borderId="0" xfId="0" applyNumberFormat="1" applyFont="1" applyFill="1" applyBorder="1"/>
    <xf numFmtId="0" fontId="5" fillId="0" borderId="1" xfId="0" applyNumberFormat="1" applyFont="1" applyFill="1" applyBorder="1" applyAlignment="1" applyProtection="1"/>
    <xf numFmtId="3" fontId="18" fillId="4" borderId="1" xfId="0" applyNumberFormat="1" applyFont="1" applyFill="1" applyBorder="1" applyAlignment="1">
      <alignment horizontal="center"/>
    </xf>
    <xf numFmtId="164" fontId="0" fillId="0" borderId="0" xfId="0" applyNumberFormat="1"/>
    <xf numFmtId="0" fontId="20" fillId="0" borderId="0" xfId="0" applyFont="1"/>
    <xf numFmtId="0" fontId="2" fillId="0" borderId="1" xfId="0" applyFont="1" applyBorder="1"/>
    <xf numFmtId="43" fontId="22" fillId="0" borderId="1" xfId="1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43" fontId="0" fillId="0" borderId="10" xfId="1" applyFont="1" applyBorder="1"/>
    <xf numFmtId="43" fontId="0" fillId="0" borderId="12" xfId="0" applyNumberFormat="1" applyBorder="1"/>
    <xf numFmtId="0" fontId="25" fillId="0" borderId="11" xfId="0" applyFont="1" applyBorder="1" applyAlignment="1">
      <alignment wrapText="1"/>
    </xf>
    <xf numFmtId="0" fontId="25" fillId="0" borderId="15" xfId="0" applyFont="1" applyBorder="1" applyAlignment="1">
      <alignment wrapText="1"/>
    </xf>
    <xf numFmtId="0" fontId="0" fillId="0" borderId="19" xfId="0" applyBorder="1"/>
    <xf numFmtId="43" fontId="0" fillId="0" borderId="22" xfId="0" applyNumberFormat="1" applyBorder="1"/>
    <xf numFmtId="43" fontId="0" fillId="0" borderId="25" xfId="0" applyNumberFormat="1" applyBorder="1"/>
    <xf numFmtId="43" fontId="21" fillId="0" borderId="28" xfId="0" applyNumberFormat="1" applyFont="1" applyBorder="1"/>
    <xf numFmtId="3" fontId="0" fillId="0" borderId="5" xfId="0" applyNumberFormat="1" applyBorder="1" applyAlignment="1">
      <alignment horizontal="right"/>
    </xf>
    <xf numFmtId="0" fontId="11" fillId="3" borderId="13" xfId="0" applyNumberFormat="1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/>
    </xf>
    <xf numFmtId="0" fontId="11" fillId="3" borderId="14" xfId="0" applyNumberFormat="1" applyFont="1" applyFill="1" applyBorder="1" applyAlignment="1" applyProtection="1">
      <alignment horizontal="center" vertical="center" wrapText="1"/>
    </xf>
    <xf numFmtId="3" fontId="6" fillId="0" borderId="14" xfId="0" applyNumberFormat="1" applyFont="1" applyFill="1" applyBorder="1" applyAlignment="1" applyProtection="1">
      <alignment horizontal="right"/>
    </xf>
    <xf numFmtId="0" fontId="12" fillId="3" borderId="30" xfId="0" applyNumberFormat="1" applyFont="1" applyFill="1" applyBorder="1" applyAlignment="1" applyProtection="1">
      <alignment horizontal="center" vertical="center" wrapText="1"/>
    </xf>
    <xf numFmtId="3" fontId="6" fillId="0" borderId="31" xfId="0" applyNumberFormat="1" applyFont="1" applyFill="1" applyBorder="1" applyAlignment="1" applyProtection="1">
      <alignment horizontal="center"/>
    </xf>
    <xf numFmtId="0" fontId="12" fillId="3" borderId="32" xfId="0" applyNumberFormat="1" applyFont="1" applyFill="1" applyBorder="1" applyAlignment="1" applyProtection="1">
      <alignment horizontal="center" vertical="center" wrapText="1"/>
    </xf>
    <xf numFmtId="3" fontId="6" fillId="0" borderId="33" xfId="0" applyNumberFormat="1" applyFont="1" applyFill="1" applyBorder="1" applyAlignment="1" applyProtection="1">
      <alignment horizontal="center"/>
    </xf>
    <xf numFmtId="3" fontId="9" fillId="4" borderId="8" xfId="0" applyNumberFormat="1" applyFont="1" applyFill="1" applyBorder="1"/>
    <xf numFmtId="0" fontId="4" fillId="0" borderId="1" xfId="0" applyFont="1" applyBorder="1" applyAlignment="1">
      <alignment horizontal="right"/>
    </xf>
    <xf numFmtId="0" fontId="26" fillId="0" borderId="34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164" fontId="0" fillId="0" borderId="0" xfId="0" applyNumberFormat="1" applyFill="1"/>
    <xf numFmtId="164" fontId="4" fillId="4" borderId="1" xfId="0" applyNumberFormat="1" applyFont="1" applyFill="1" applyBorder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3" fontId="4" fillId="6" borderId="1" xfId="1" applyFont="1" applyFill="1" applyBorder="1"/>
    <xf numFmtId="43" fontId="4" fillId="6" borderId="1" xfId="0" applyNumberFormat="1" applyFont="1" applyFill="1" applyBorder="1"/>
    <xf numFmtId="43" fontId="4" fillId="6" borderId="5" xfId="1" applyFont="1" applyFill="1" applyBorder="1"/>
    <xf numFmtId="0" fontId="4" fillId="0" borderId="6" xfId="0" applyFont="1" applyBorder="1" applyAlignment="1">
      <alignment horizontal="center" vertical="center"/>
    </xf>
    <xf numFmtId="43" fontId="0" fillId="0" borderId="35" xfId="1" applyFont="1" applyBorder="1"/>
    <xf numFmtId="164" fontId="9" fillId="0" borderId="1" xfId="1" applyNumberFormat="1" applyFont="1" applyBorder="1"/>
    <xf numFmtId="43" fontId="0" fillId="0" borderId="0" xfId="1" applyFont="1"/>
    <xf numFmtId="164" fontId="0" fillId="0" borderId="1" xfId="1" applyNumberFormat="1" applyFont="1" applyBorder="1" applyAlignment="1">
      <alignment horizontal="center"/>
    </xf>
    <xf numFmtId="0" fontId="2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29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3" fontId="21" fillId="0" borderId="1" xfId="0" applyNumberFormat="1" applyFont="1" applyBorder="1" applyAlignment="1">
      <alignment vertical="center"/>
    </xf>
    <xf numFmtId="164" fontId="0" fillId="0" borderId="0" xfId="0" applyNumberFormat="1" applyAlignment="1">
      <alignment horizontal="center"/>
    </xf>
    <xf numFmtId="0" fontId="0" fillId="5" borderId="3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3" fontId="30" fillId="0" borderId="0" xfId="1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31" fillId="0" borderId="0" xfId="1" applyFont="1" applyAlignment="1">
      <alignment vertical="center"/>
    </xf>
    <xf numFmtId="164" fontId="0" fillId="0" borderId="1" xfId="1" applyNumberFormat="1" applyFont="1" applyBorder="1" applyAlignment="1">
      <alignment horizontal="center" vertical="center"/>
    </xf>
    <xf numFmtId="164" fontId="0" fillId="7" borderId="0" xfId="0" applyNumberFormat="1" applyFill="1"/>
    <xf numFmtId="0" fontId="7" fillId="3" borderId="36" xfId="0" applyNumberFormat="1" applyFont="1" applyFill="1" applyBorder="1" applyAlignment="1" applyProtection="1">
      <alignment horizontal="center" vertical="center"/>
    </xf>
    <xf numFmtId="43" fontId="4" fillId="7" borderId="0" xfId="1" applyFont="1" applyFill="1" applyAlignment="1">
      <alignment vertical="center"/>
    </xf>
    <xf numFmtId="0" fontId="0" fillId="7" borderId="0" xfId="0" applyFill="1" applyAlignment="1">
      <alignment horizontal="center"/>
    </xf>
    <xf numFmtId="3" fontId="4" fillId="7" borderId="1" xfId="0" applyNumberFormat="1" applyFont="1" applyFill="1" applyBorder="1" applyAlignment="1">
      <alignment horizontal="center"/>
    </xf>
    <xf numFmtId="43" fontId="0" fillId="7" borderId="0" xfId="0" applyNumberFormat="1" applyFill="1"/>
    <xf numFmtId="0" fontId="2" fillId="0" borderId="1" xfId="0" applyFont="1" applyBorder="1" applyAlignment="1">
      <alignment vertical="center"/>
    </xf>
    <xf numFmtId="0" fontId="2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43" fontId="0" fillId="0" borderId="0" xfId="1" applyFont="1" applyAlignment="1">
      <alignment horizontal="center" vertical="center"/>
    </xf>
    <xf numFmtId="43" fontId="0" fillId="7" borderId="0" xfId="1" applyFont="1" applyFill="1"/>
    <xf numFmtId="43" fontId="30" fillId="0" borderId="0" xfId="1" applyFont="1"/>
    <xf numFmtId="43" fontId="30" fillId="0" borderId="0" xfId="1" applyFont="1" applyAlignment="1">
      <alignment vertical="center"/>
    </xf>
    <xf numFmtId="0" fontId="22" fillId="0" borderId="0" xfId="0" applyFont="1"/>
    <xf numFmtId="43" fontId="2" fillId="7" borderId="0" xfId="1" applyFont="1" applyFill="1" applyBorder="1" applyAlignment="1">
      <alignment vertical="center"/>
    </xf>
    <xf numFmtId="0" fontId="32" fillId="7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 applyProtection="1">
      <alignment horizontal="center" vertical="center"/>
    </xf>
    <xf numFmtId="3" fontId="9" fillId="0" borderId="1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 vertical="center"/>
    </xf>
    <xf numFmtId="3" fontId="0" fillId="0" borderId="1" xfId="0" applyNumberFormat="1" applyFill="1" applyBorder="1" applyAlignment="1">
      <alignment horizontal="center" vertical="center"/>
    </xf>
    <xf numFmtId="0" fontId="6" fillId="0" borderId="3" xfId="0" applyNumberFormat="1" applyFont="1" applyFill="1" applyBorder="1" applyAlignment="1" applyProtection="1">
      <alignment horizontal="right" vertical="center"/>
    </xf>
    <xf numFmtId="0" fontId="0" fillId="0" borderId="1" xfId="0" applyFill="1" applyBorder="1" applyAlignment="1">
      <alignment horizontal="center" vertical="center"/>
    </xf>
    <xf numFmtId="3" fontId="10" fillId="0" borderId="1" xfId="0" applyNumberFormat="1" applyFont="1" applyFill="1" applyBorder="1" applyAlignment="1" applyProtection="1">
      <alignment horizontal="right" vertical="center"/>
    </xf>
    <xf numFmtId="43" fontId="6" fillId="0" borderId="1" xfId="1" applyFont="1" applyFill="1" applyBorder="1" applyAlignment="1" applyProtection="1">
      <alignment horizontal="center" vertical="center"/>
    </xf>
    <xf numFmtId="43" fontId="0" fillId="0" borderId="0" xfId="0" applyNumberFormat="1" applyAlignment="1">
      <alignment horizontal="right" vertical="center"/>
    </xf>
    <xf numFmtId="43" fontId="0" fillId="0" borderId="1" xfId="1" applyFont="1" applyFill="1" applyBorder="1" applyAlignment="1">
      <alignment horizontal="center" vertical="center"/>
    </xf>
    <xf numFmtId="0" fontId="26" fillId="0" borderId="37" xfId="0" applyFont="1" applyBorder="1" applyAlignment="1">
      <alignment horizontal="center"/>
    </xf>
    <xf numFmtId="3" fontId="6" fillId="0" borderId="38" xfId="0" applyNumberFormat="1" applyFont="1" applyFill="1" applyBorder="1" applyAlignment="1" applyProtection="1">
      <alignment horizontal="center"/>
    </xf>
    <xf numFmtId="0" fontId="0" fillId="0" borderId="7" xfId="0" applyBorder="1"/>
    <xf numFmtId="0" fontId="4" fillId="0" borderId="7" xfId="0" applyFont="1" applyBorder="1" applyAlignment="1">
      <alignment horizontal="center"/>
    </xf>
    <xf numFmtId="43" fontId="18" fillId="0" borderId="0" xfId="0" applyNumberFormat="1" applyFont="1" applyFill="1" applyBorder="1" applyAlignment="1">
      <alignment vertical="center"/>
    </xf>
    <xf numFmtId="43" fontId="24" fillId="4" borderId="6" xfId="0" applyNumberFormat="1" applyFont="1" applyFill="1" applyBorder="1" applyAlignment="1">
      <alignment vertical="center"/>
    </xf>
    <xf numFmtId="43" fontId="18" fillId="4" borderId="39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34" fillId="0" borderId="1" xfId="0" quotePrefix="1" applyFont="1" applyBorder="1" applyAlignment="1">
      <alignment wrapText="1"/>
    </xf>
    <xf numFmtId="164" fontId="9" fillId="0" borderId="2" xfId="1" applyNumberFormat="1" applyFont="1" applyFill="1" applyBorder="1"/>
    <xf numFmtId="0" fontId="35" fillId="0" borderId="0" xfId="0" applyFont="1"/>
    <xf numFmtId="43" fontId="4" fillId="0" borderId="0" xfId="1" applyFont="1" applyAlignment="1">
      <alignment horizontal="right" vertical="center"/>
    </xf>
    <xf numFmtId="4" fontId="4" fillId="7" borderId="1" xfId="0" applyNumberFormat="1" applyFont="1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3" fontId="6" fillId="0" borderId="5" xfId="0" applyNumberFormat="1" applyFont="1" applyFill="1" applyBorder="1" applyAlignment="1" applyProtection="1">
      <alignment vertical="center"/>
    </xf>
    <xf numFmtId="3" fontId="0" fillId="0" borderId="5" xfId="0" applyNumberFormat="1" applyBorder="1" applyAlignment="1">
      <alignment vertical="center"/>
    </xf>
    <xf numFmtId="0" fontId="21" fillId="0" borderId="1" xfId="0" applyNumberFormat="1" applyFont="1" applyFill="1" applyBorder="1" applyAlignment="1" applyProtection="1">
      <alignment vertical="center"/>
    </xf>
    <xf numFmtId="0" fontId="0" fillId="0" borderId="40" xfId="0" applyBorder="1" applyAlignment="1">
      <alignment horizontal="center"/>
    </xf>
    <xf numFmtId="0" fontId="0" fillId="0" borderId="3" xfId="0" applyBorder="1" applyAlignment="1">
      <alignment horizontal="center"/>
    </xf>
    <xf numFmtId="3" fontId="6" fillId="0" borderId="0" xfId="0" applyNumberFormat="1" applyFont="1" applyFill="1" applyBorder="1" applyAlignment="1" applyProtection="1">
      <alignment horizontal="right"/>
    </xf>
    <xf numFmtId="3" fontId="6" fillId="0" borderId="1" xfId="0" applyNumberFormat="1" applyFont="1" applyFill="1" applyBorder="1" applyAlignment="1" applyProtection="1">
      <alignment horizontal="right"/>
    </xf>
    <xf numFmtId="0" fontId="0" fillId="0" borderId="1" xfId="0" applyFill="1" applyBorder="1"/>
    <xf numFmtId="0" fontId="36" fillId="0" borderId="0" xfId="0" applyFont="1"/>
    <xf numFmtId="164" fontId="6" fillId="0" borderId="1" xfId="1" applyNumberFormat="1" applyFont="1" applyFill="1" applyBorder="1" applyAlignment="1" applyProtection="1">
      <alignment horizontal="center"/>
    </xf>
    <xf numFmtId="43" fontId="0" fillId="0" borderId="1" xfId="1" applyFont="1" applyBorder="1" applyAlignment="1">
      <alignment vertical="center"/>
    </xf>
    <xf numFmtId="164" fontId="0" fillId="0" borderId="0" xfId="1" applyNumberFormat="1" applyFont="1" applyAlignment="1">
      <alignment horizontal="right" vertical="center"/>
    </xf>
    <xf numFmtId="0" fontId="23" fillId="2" borderId="13" xfId="0" applyFont="1" applyFill="1" applyBorder="1" applyAlignment="1">
      <alignment vertical="center"/>
    </xf>
    <xf numFmtId="3" fontId="6" fillId="0" borderId="41" xfId="0" applyNumberFormat="1" applyFont="1" applyFill="1" applyBorder="1" applyAlignment="1" applyProtection="1">
      <alignment horizontal="center"/>
    </xf>
    <xf numFmtId="0" fontId="3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1" fillId="3" borderId="0" xfId="0" applyNumberFormat="1" applyFont="1" applyFill="1" applyBorder="1" applyAlignment="1" applyProtection="1">
      <alignment horizontal="center" vertical="center" wrapText="1"/>
    </xf>
    <xf numFmtId="43" fontId="0" fillId="0" borderId="0" xfId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3" fontId="6" fillId="0" borderId="42" xfId="0" applyNumberFormat="1" applyFont="1" applyFill="1" applyBorder="1" applyAlignment="1" applyProtection="1">
      <alignment horizontal="center"/>
    </xf>
    <xf numFmtId="3" fontId="6" fillId="0" borderId="1" xfId="0" applyNumberFormat="1" applyFont="1" applyFill="1" applyBorder="1" applyAlignment="1" applyProtection="1">
      <alignment horizontal="center"/>
    </xf>
    <xf numFmtId="0" fontId="25" fillId="0" borderId="20" xfId="0" applyFont="1" applyBorder="1" applyAlignment="1">
      <alignment horizontal="left"/>
    </xf>
    <xf numFmtId="0" fontId="25" fillId="0" borderId="21" xfId="0" applyFont="1" applyBorder="1" applyAlignment="1">
      <alignment horizontal="left"/>
    </xf>
    <xf numFmtId="0" fontId="25" fillId="0" borderId="23" xfId="0" applyFont="1" applyBorder="1" applyAlignment="1">
      <alignment horizontal="left"/>
    </xf>
    <xf numFmtId="0" fontId="25" fillId="0" borderId="24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13" xfId="0" applyNumberFormat="1" applyFont="1" applyFill="1" applyBorder="1" applyAlignment="1" applyProtection="1">
      <alignment horizontal="right" vertical="center"/>
    </xf>
    <xf numFmtId="0" fontId="7" fillId="0" borderId="29" xfId="0" applyNumberFormat="1" applyFont="1" applyFill="1" applyBorder="1" applyAlignment="1" applyProtection="1">
      <alignment horizontal="right" vertical="center"/>
    </xf>
    <xf numFmtId="0" fontId="33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0" fontId="6" fillId="0" borderId="13" xfId="0" applyNumberFormat="1" applyFont="1" applyFill="1" applyBorder="1" applyAlignment="1" applyProtection="1">
      <alignment horizontal="center" vertical="center"/>
    </xf>
    <xf numFmtId="0" fontId="6" fillId="0" borderId="29" xfId="0" applyNumberFormat="1" applyFont="1" applyFill="1" applyBorder="1" applyAlignment="1" applyProtection="1">
      <alignment horizontal="center" vertical="center"/>
    </xf>
    <xf numFmtId="3" fontId="6" fillId="0" borderId="29" xfId="0" applyNumberFormat="1" applyFont="1" applyFill="1" applyBorder="1" applyAlignment="1" applyProtection="1">
      <alignment horizontal="right" vertical="center"/>
    </xf>
    <xf numFmtId="3" fontId="6" fillId="0" borderId="13" xfId="0" applyNumberFormat="1" applyFont="1" applyFill="1" applyBorder="1" applyAlignment="1" applyProtection="1">
      <alignment horizontal="right" vertical="center"/>
    </xf>
    <xf numFmtId="3" fontId="7" fillId="4" borderId="12" xfId="0" applyNumberFormat="1" applyFont="1" applyFill="1" applyBorder="1" applyAlignment="1">
      <alignment horizontal="right"/>
    </xf>
    <xf numFmtId="164" fontId="21" fillId="0" borderId="43" xfId="1" applyNumberFormat="1" applyFont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1" applyNumberFormat="1" applyFont="1" applyFill="1" applyBorder="1"/>
    <xf numFmtId="0" fontId="0" fillId="4" borderId="1" xfId="0" applyFill="1" applyBorder="1"/>
    <xf numFmtId="43" fontId="0" fillId="4" borderId="0" xfId="1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3" fontId="7" fillId="2" borderId="1" xfId="0" applyNumberFormat="1" applyFont="1" applyFill="1" applyBorder="1" applyAlignment="1" applyProtection="1">
      <alignment vertical="center"/>
    </xf>
    <xf numFmtId="3" fontId="4" fillId="2" borderId="1" xfId="0" applyNumberFormat="1" applyFont="1" applyFill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0" fontId="0" fillId="0" borderId="3" xfId="0" applyBorder="1"/>
    <xf numFmtId="43" fontId="4" fillId="6" borderId="3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M29"/>
  <sheetViews>
    <sheetView tabSelected="1" topLeftCell="A3" workbookViewId="0">
      <selection activeCell="E18" sqref="E18"/>
    </sheetView>
  </sheetViews>
  <sheetFormatPr defaultRowHeight="15" x14ac:dyDescent="0.25"/>
  <cols>
    <col min="1" max="1" width="3.5703125" customWidth="1"/>
    <col min="2" max="2" width="6" customWidth="1"/>
    <col min="3" max="3" width="27.28515625" customWidth="1"/>
    <col min="4" max="4" width="5.28515625" customWidth="1"/>
    <col min="5" max="5" width="7.28515625" customWidth="1"/>
    <col min="6" max="6" width="5.5703125" customWidth="1"/>
    <col min="7" max="7" width="5.7109375" customWidth="1"/>
    <col min="8" max="8" width="8.5703125" customWidth="1"/>
    <col min="9" max="9" width="14.85546875" customWidth="1"/>
    <col min="10" max="10" width="20.5703125" customWidth="1"/>
    <col min="12" max="12" width="20.140625" customWidth="1"/>
    <col min="13" max="13" width="14.28515625" bestFit="1" customWidth="1"/>
  </cols>
  <sheetData>
    <row r="4" spans="2:12" ht="27.75" customHeight="1" x14ac:dyDescent="0.25">
      <c r="B4" s="178" t="s">
        <v>229</v>
      </c>
      <c r="C4" s="178"/>
      <c r="D4" s="178"/>
      <c r="E4" s="178"/>
      <c r="F4" s="178"/>
      <c r="G4" s="178"/>
      <c r="H4" s="178"/>
      <c r="I4" s="178"/>
      <c r="J4" s="178"/>
    </row>
    <row r="5" spans="2:12" x14ac:dyDescent="0.25">
      <c r="B5" s="3"/>
    </row>
    <row r="6" spans="2:12" ht="15.75" x14ac:dyDescent="0.25">
      <c r="B6" s="55" t="s">
        <v>0</v>
      </c>
      <c r="C6" s="55" t="s">
        <v>1</v>
      </c>
      <c r="D6" s="55" t="s">
        <v>2</v>
      </c>
      <c r="E6" s="55" t="s">
        <v>3</v>
      </c>
      <c r="F6" s="55" t="s">
        <v>8</v>
      </c>
      <c r="G6" s="55" t="s">
        <v>4</v>
      </c>
      <c r="H6" s="55" t="s">
        <v>5</v>
      </c>
      <c r="I6" s="1"/>
      <c r="J6" s="158" t="s">
        <v>210</v>
      </c>
      <c r="L6" s="1" t="s">
        <v>204</v>
      </c>
    </row>
    <row r="7" spans="2:12" x14ac:dyDescent="0.25">
      <c r="B7" s="2">
        <v>1</v>
      </c>
      <c r="C7" s="1" t="s">
        <v>180</v>
      </c>
      <c r="D7" s="1"/>
      <c r="E7" s="1"/>
      <c r="F7" s="1"/>
      <c r="G7" s="1"/>
      <c r="H7" s="1">
        <f>D7*G7</f>
        <v>0</v>
      </c>
      <c r="I7" s="1"/>
      <c r="J7" s="83">
        <f>'Major Procure items'!I11</f>
        <v>186500000</v>
      </c>
      <c r="L7" s="50">
        <f>'Major Procure items'!K11</f>
        <v>155760000</v>
      </c>
    </row>
    <row r="8" spans="2:12" x14ac:dyDescent="0.25">
      <c r="B8" s="2">
        <v>2</v>
      </c>
      <c r="C8" s="1" t="s">
        <v>19</v>
      </c>
      <c r="D8" s="1"/>
      <c r="E8" s="1"/>
      <c r="F8" s="1"/>
      <c r="G8" s="1"/>
      <c r="H8" s="1">
        <f t="shared" ref="H8:H13" si="0">D8*G8</f>
        <v>0</v>
      </c>
      <c r="I8" s="1"/>
      <c r="J8" s="84">
        <f>Service!I9</f>
        <v>27500000</v>
      </c>
      <c r="L8" s="50">
        <f>Service!K9</f>
        <v>19800000</v>
      </c>
    </row>
    <row r="9" spans="2:12" x14ac:dyDescent="0.25">
      <c r="B9" s="2">
        <v>3</v>
      </c>
      <c r="C9" s="1" t="s">
        <v>168</v>
      </c>
      <c r="D9" s="1"/>
      <c r="E9" s="1"/>
      <c r="F9" s="1"/>
      <c r="G9" s="1"/>
      <c r="H9" s="1">
        <f t="shared" si="0"/>
        <v>0</v>
      </c>
      <c r="I9" s="1"/>
      <c r="J9" s="83">
        <f>'Accomodation &amp; Feeding'!I26</f>
        <v>27220000</v>
      </c>
      <c r="L9" s="50">
        <f>'Accomodation &amp; Feeding'!J26</f>
        <v>18036000</v>
      </c>
    </row>
    <row r="10" spans="2:12" x14ac:dyDescent="0.25">
      <c r="B10" s="2">
        <v>4</v>
      </c>
      <c r="C10" s="1" t="s">
        <v>166</v>
      </c>
      <c r="D10" s="1"/>
      <c r="E10" s="1"/>
      <c r="F10" s="1"/>
      <c r="G10" s="1"/>
      <c r="H10" s="1">
        <f t="shared" si="0"/>
        <v>0</v>
      </c>
      <c r="I10" s="1"/>
      <c r="J10" s="83">
        <f>'Marine Equipment'!H14</f>
        <v>62900000</v>
      </c>
      <c r="L10" s="31">
        <f>'Marine Equipment'!J14</f>
        <v>48420000</v>
      </c>
    </row>
    <row r="11" spans="2:12" x14ac:dyDescent="0.25">
      <c r="B11" s="2">
        <v>5</v>
      </c>
      <c r="C11" s="1" t="s">
        <v>98</v>
      </c>
      <c r="D11" s="1"/>
      <c r="E11" s="1"/>
      <c r="F11" s="1"/>
      <c r="G11" s="1"/>
      <c r="H11" s="1">
        <f t="shared" si="0"/>
        <v>0</v>
      </c>
      <c r="I11" s="1"/>
      <c r="J11" s="83">
        <f>'Other Expenses Plus Fuel'!H16</f>
        <v>68160000</v>
      </c>
      <c r="L11" s="31">
        <f>'Other Expenses Plus Fuel'!J16</f>
        <v>31480000</v>
      </c>
    </row>
    <row r="12" spans="2:12" x14ac:dyDescent="0.25">
      <c r="B12" s="2">
        <v>6</v>
      </c>
      <c r="C12" s="1" t="s">
        <v>167</v>
      </c>
      <c r="D12" s="1"/>
      <c r="E12" s="1"/>
      <c r="F12" s="1"/>
      <c r="G12" s="1"/>
      <c r="H12" s="1">
        <f t="shared" si="0"/>
        <v>0</v>
      </c>
      <c r="I12" s="1"/>
      <c r="J12" s="83">
        <f>'Safety requirments'!G19</f>
        <v>2557000</v>
      </c>
      <c r="L12" s="31">
        <f>'Safety requirments'!H19</f>
        <v>1289300</v>
      </c>
    </row>
    <row r="13" spans="2:12" x14ac:dyDescent="0.25">
      <c r="B13" s="2">
        <v>7</v>
      </c>
      <c r="C13" s="1" t="s">
        <v>169</v>
      </c>
      <c r="D13" s="1"/>
      <c r="E13" s="1"/>
      <c r="F13" s="1"/>
      <c r="G13" s="1"/>
      <c r="H13" s="1">
        <f t="shared" si="0"/>
        <v>0</v>
      </c>
      <c r="I13" s="1"/>
      <c r="J13" s="83">
        <f>'Welding (Ancillary Material.)'!H55</f>
        <v>12626500</v>
      </c>
      <c r="L13" s="31">
        <f>'Welding (Ancillary Material.)'!I55</f>
        <v>2526800</v>
      </c>
    </row>
    <row r="14" spans="2:12" x14ac:dyDescent="0.25">
      <c r="B14" s="2">
        <v>8</v>
      </c>
      <c r="C14" s="1" t="s">
        <v>124</v>
      </c>
      <c r="D14" s="1"/>
      <c r="E14" s="1"/>
      <c r="F14" s="1"/>
      <c r="G14" s="1"/>
      <c r="H14" s="1">
        <f>D14*G14</f>
        <v>0</v>
      </c>
      <c r="I14" s="1"/>
      <c r="J14" s="83">
        <f>Personnel!G27</f>
        <v>36410000</v>
      </c>
      <c r="L14" s="31">
        <f>Personnel!H27</f>
        <v>34955000</v>
      </c>
    </row>
    <row r="15" spans="2:12" x14ac:dyDescent="0.25">
      <c r="B15" s="2">
        <v>9</v>
      </c>
      <c r="C15" s="1" t="s">
        <v>48</v>
      </c>
      <c r="D15" s="1"/>
      <c r="E15" s="1"/>
      <c r="F15" s="1"/>
      <c r="G15" s="1"/>
      <c r="H15" s="1">
        <f>D15*G15</f>
        <v>0</v>
      </c>
      <c r="I15" s="56"/>
      <c r="J15" s="85">
        <f>Security!H19</f>
        <v>67640000</v>
      </c>
      <c r="L15" s="31">
        <f>Security!J19</f>
        <v>62950000</v>
      </c>
    </row>
    <row r="16" spans="2:12" ht="15.75" thickBot="1" x14ac:dyDescent="0.3">
      <c r="B16" s="2">
        <v>10</v>
      </c>
      <c r="C16" s="153" t="s">
        <v>241</v>
      </c>
      <c r="D16" s="1"/>
      <c r="E16" s="1"/>
      <c r="F16" s="1"/>
      <c r="G16" s="1"/>
      <c r="H16" s="1"/>
      <c r="I16" s="209"/>
      <c r="J16" s="210">
        <v>15000000</v>
      </c>
      <c r="L16" s="31">
        <v>15000000</v>
      </c>
    </row>
    <row r="17" spans="3:13" ht="20.25" thickTop="1" thickBot="1" x14ac:dyDescent="0.3">
      <c r="I17" s="86" t="s">
        <v>173</v>
      </c>
      <c r="J17" s="136">
        <f>SUM(J7:J15)</f>
        <v>491513500</v>
      </c>
      <c r="K17" s="138"/>
      <c r="L17" s="137">
        <f>SUM(L7:L15)</f>
        <v>375217100</v>
      </c>
    </row>
    <row r="18" spans="3:13" ht="15.75" thickTop="1" x14ac:dyDescent="0.25">
      <c r="J18" s="24"/>
    </row>
    <row r="19" spans="3:13" ht="16.5" thickBot="1" x14ac:dyDescent="0.3">
      <c r="C19" s="24"/>
      <c r="L19" s="135">
        <f>J17-L17</f>
        <v>116296400</v>
      </c>
      <c r="M19" s="141">
        <f>(L19/J17)*100</f>
        <v>23.660876049182779</v>
      </c>
    </row>
    <row r="20" spans="3:13" ht="16.5" thickTop="1" thickBot="1" x14ac:dyDescent="0.3">
      <c r="C20" s="24"/>
      <c r="H20" s="175" t="s">
        <v>174</v>
      </c>
      <c r="I20" s="176"/>
      <c r="J20" s="177"/>
      <c r="L20" s="24"/>
    </row>
    <row r="21" spans="3:13" ht="16.5" thickTop="1" thickBot="1" x14ac:dyDescent="0.3">
      <c r="C21" s="89"/>
      <c r="H21" s="169" t="s">
        <v>176</v>
      </c>
      <c r="I21" s="170"/>
      <c r="J21" s="63">
        <f>SUM(J8:J15)</f>
        <v>305013500</v>
      </c>
    </row>
    <row r="22" spans="3:13" ht="15.75" thickBot="1" x14ac:dyDescent="0.3">
      <c r="H22" s="171" t="s">
        <v>175</v>
      </c>
      <c r="I22" s="172"/>
      <c r="J22" s="64">
        <f>J21*0.35</f>
        <v>106754725</v>
      </c>
      <c r="L22" s="24">
        <f>SUM(J7:J15)</f>
        <v>491513500</v>
      </c>
    </row>
    <row r="23" spans="3:13" ht="15.75" thickBot="1" x14ac:dyDescent="0.3">
      <c r="H23" s="173" t="s">
        <v>177</v>
      </c>
      <c r="I23" s="174"/>
      <c r="J23" s="65">
        <f>J21-J22</f>
        <v>198258775</v>
      </c>
    </row>
    <row r="24" spans="3:13" ht="15.75" thickBot="1" x14ac:dyDescent="0.3">
      <c r="H24" s="57"/>
      <c r="I24" s="62"/>
      <c r="J24" s="58">
        <f>J23/33</f>
        <v>6007841.666666667</v>
      </c>
    </row>
    <row r="25" spans="3:13" ht="16.5" thickTop="1" thickBot="1" x14ac:dyDescent="0.3"/>
    <row r="26" spans="3:13" ht="35.25" thickBot="1" x14ac:dyDescent="0.3">
      <c r="I26" s="61" t="s">
        <v>171</v>
      </c>
      <c r="J26" s="60" t="s">
        <v>172</v>
      </c>
    </row>
    <row r="27" spans="3:13" ht="15.75" thickBot="1" x14ac:dyDescent="0.3">
      <c r="I27" s="59">
        <f>J21*0.2</f>
        <v>61002700</v>
      </c>
      <c r="J27" s="87">
        <f>J21*0.15</f>
        <v>45752025</v>
      </c>
    </row>
    <row r="29" spans="3:13" x14ac:dyDescent="0.25">
      <c r="I29">
        <v>45902476</v>
      </c>
      <c r="J29">
        <v>34426857</v>
      </c>
    </row>
  </sheetData>
  <mergeCells count="5">
    <mergeCell ref="H21:I21"/>
    <mergeCell ref="H22:I22"/>
    <mergeCell ref="H23:I23"/>
    <mergeCell ref="H20:J20"/>
    <mergeCell ref="B4:J4"/>
  </mergeCells>
  <pageMargins left="0.7" right="0.7" top="0.75" bottom="0.75" header="0.3" footer="0.3"/>
  <pageSetup paperSize="0" orientation="portrait" horizontalDpi="0" verticalDpi="0" copies="0"/>
  <ignoredErrors>
    <ignoredError sqref="J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2:K17"/>
  <sheetViews>
    <sheetView topLeftCell="C3" workbookViewId="0">
      <selection activeCell="K7" sqref="K7"/>
    </sheetView>
  </sheetViews>
  <sheetFormatPr defaultRowHeight="15" x14ac:dyDescent="0.25"/>
  <cols>
    <col min="3" max="3" width="5" style="3" customWidth="1"/>
    <col min="4" max="4" width="37.42578125" customWidth="1"/>
    <col min="6" max="6" width="9.140625" style="3"/>
    <col min="8" max="8" width="11.5703125" bestFit="1" customWidth="1"/>
    <col min="9" max="9" width="19.28515625" customWidth="1"/>
    <col min="10" max="10" width="24.42578125" customWidth="1"/>
    <col min="11" max="11" width="15.28515625" bestFit="1" customWidth="1"/>
  </cols>
  <sheetData>
    <row r="2" spans="3:11" ht="18.75" x14ac:dyDescent="0.3">
      <c r="C2" s="179" t="s">
        <v>7</v>
      </c>
      <c r="D2" s="179"/>
      <c r="E2" s="179"/>
      <c r="F2" s="179"/>
      <c r="G2" s="179"/>
      <c r="H2" s="179"/>
      <c r="I2" s="179"/>
      <c r="J2" s="179"/>
    </row>
    <row r="4" spans="3:11" s="4" customFormat="1" ht="24.75" customHeight="1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8</v>
      </c>
      <c r="H4" s="5" t="s">
        <v>4</v>
      </c>
      <c r="I4" s="5" t="s">
        <v>5</v>
      </c>
      <c r="J4" s="5" t="s">
        <v>6</v>
      </c>
      <c r="K4" s="99" t="s">
        <v>192</v>
      </c>
    </row>
    <row r="5" spans="3:11" ht="24.75" customHeight="1" x14ac:dyDescent="0.25">
      <c r="C5" s="2">
        <v>1</v>
      </c>
      <c r="D5" s="1" t="s">
        <v>10</v>
      </c>
      <c r="E5" s="1">
        <v>600</v>
      </c>
      <c r="F5" s="2" t="s">
        <v>12</v>
      </c>
      <c r="G5" s="1"/>
      <c r="H5" s="10">
        <v>300000</v>
      </c>
      <c r="I5" s="10">
        <f t="shared" ref="I5:I10" si="0">E5*H5</f>
        <v>180000000</v>
      </c>
      <c r="J5" s="1"/>
      <c r="K5" s="89">
        <f>250000*600</f>
        <v>150000000</v>
      </c>
    </row>
    <row r="6" spans="3:11" ht="24.75" customHeight="1" x14ac:dyDescent="0.25">
      <c r="C6" s="2">
        <v>2</v>
      </c>
      <c r="D6" s="1" t="s">
        <v>9</v>
      </c>
      <c r="E6" s="1">
        <v>20</v>
      </c>
      <c r="F6" s="2" t="s">
        <v>13</v>
      </c>
      <c r="G6" s="1"/>
      <c r="H6" s="10">
        <v>25000</v>
      </c>
      <c r="I6" s="9">
        <f t="shared" si="0"/>
        <v>500000</v>
      </c>
      <c r="J6" s="1"/>
      <c r="K6" s="24">
        <f>E6*18000</f>
        <v>360000</v>
      </c>
    </row>
    <row r="7" spans="3:11" ht="24.75" customHeight="1" x14ac:dyDescent="0.25">
      <c r="C7" s="2">
        <v>3</v>
      </c>
      <c r="D7" s="1" t="s">
        <v>11</v>
      </c>
      <c r="E7" s="1">
        <v>600</v>
      </c>
      <c r="F7" s="2" t="s">
        <v>13</v>
      </c>
      <c r="G7" s="1"/>
      <c r="H7" s="9">
        <v>10000</v>
      </c>
      <c r="I7" s="10">
        <f t="shared" si="0"/>
        <v>6000000</v>
      </c>
      <c r="J7" s="1"/>
      <c r="K7" s="50">
        <f>E7*9000</f>
        <v>5400000</v>
      </c>
    </row>
    <row r="8" spans="3:11" ht="24.75" customHeight="1" x14ac:dyDescent="0.25">
      <c r="C8" s="2">
        <v>4</v>
      </c>
      <c r="D8" s="1"/>
      <c r="E8" s="1"/>
      <c r="F8" s="2"/>
      <c r="G8" s="1"/>
      <c r="H8" s="1"/>
      <c r="I8" s="1">
        <f t="shared" si="0"/>
        <v>0</v>
      </c>
      <c r="J8" s="1"/>
    </row>
    <row r="9" spans="3:11" ht="24.75" customHeight="1" x14ac:dyDescent="0.25">
      <c r="C9" s="2">
        <v>5</v>
      </c>
      <c r="D9" s="1"/>
      <c r="E9" s="1"/>
      <c r="F9" s="2"/>
      <c r="G9" s="1"/>
      <c r="H9" s="1"/>
      <c r="I9" s="1">
        <f t="shared" si="0"/>
        <v>0</v>
      </c>
      <c r="J9" s="1"/>
    </row>
    <row r="10" spans="3:11" ht="24.75" customHeight="1" x14ac:dyDescent="0.25">
      <c r="C10" s="2">
        <v>6</v>
      </c>
      <c r="D10" s="1"/>
      <c r="E10" s="1"/>
      <c r="F10" s="2"/>
      <c r="G10" s="1"/>
      <c r="H10" s="1"/>
      <c r="I10" s="1">
        <f t="shared" si="0"/>
        <v>0</v>
      </c>
      <c r="J10" s="1"/>
    </row>
    <row r="11" spans="3:11" x14ac:dyDescent="0.25">
      <c r="I11" s="35">
        <f>SUM(I5:I10)</f>
        <v>186500000</v>
      </c>
      <c r="K11" s="24">
        <f>SUM(K5:K10)</f>
        <v>155760000</v>
      </c>
    </row>
    <row r="13" spans="3:11" x14ac:dyDescent="0.25">
      <c r="I13" s="50"/>
    </row>
    <row r="17" spans="4:4" ht="30" x14ac:dyDescent="0.4">
      <c r="D17" s="51"/>
    </row>
  </sheetData>
  <mergeCells count="1">
    <mergeCell ref="C2:J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2:K13"/>
  <sheetViews>
    <sheetView zoomScale="85" zoomScaleNormal="85" workbookViewId="0">
      <selection activeCell="D7" sqref="D7"/>
    </sheetView>
  </sheetViews>
  <sheetFormatPr defaultRowHeight="15" x14ac:dyDescent="0.25"/>
  <cols>
    <col min="3" max="3" width="5" style="3" customWidth="1"/>
    <col min="4" max="4" width="35.85546875" customWidth="1"/>
    <col min="9" max="9" width="18.140625" customWidth="1"/>
    <col min="10" max="10" width="40.85546875" customWidth="1"/>
    <col min="11" max="11" width="19.28515625" customWidth="1"/>
  </cols>
  <sheetData>
    <row r="2" spans="3:11" ht="18.75" x14ac:dyDescent="0.3">
      <c r="C2" s="179" t="s">
        <v>7</v>
      </c>
      <c r="D2" s="179"/>
      <c r="E2" s="179"/>
      <c r="F2" s="179"/>
      <c r="G2" s="179"/>
      <c r="H2" s="179"/>
      <c r="I2" s="179"/>
      <c r="J2" s="179"/>
    </row>
    <row r="4" spans="3:11" s="4" customFormat="1" ht="24.75" customHeight="1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8</v>
      </c>
      <c r="H4" s="5" t="s">
        <v>4</v>
      </c>
      <c r="I4" s="5" t="s">
        <v>5</v>
      </c>
      <c r="J4" s="5" t="s">
        <v>6</v>
      </c>
      <c r="K4" s="95" t="s">
        <v>192</v>
      </c>
    </row>
    <row r="5" spans="3:11" ht="34.5" customHeight="1" x14ac:dyDescent="0.3">
      <c r="C5" s="82">
        <v>1</v>
      </c>
      <c r="D5" s="81" t="s">
        <v>14</v>
      </c>
      <c r="E5" s="52"/>
      <c r="F5" s="52"/>
      <c r="G5" s="52"/>
      <c r="H5" s="52"/>
      <c r="I5" s="53">
        <v>6000000</v>
      </c>
      <c r="J5" s="1"/>
      <c r="K5" s="116">
        <v>5200000</v>
      </c>
    </row>
    <row r="6" spans="3:11" ht="34.5" customHeight="1" x14ac:dyDescent="0.3">
      <c r="C6" s="82">
        <v>2</v>
      </c>
      <c r="D6" s="81" t="s">
        <v>16</v>
      </c>
      <c r="E6" s="52"/>
      <c r="F6" s="52"/>
      <c r="G6" s="52"/>
      <c r="H6" s="52"/>
      <c r="I6" s="53">
        <v>5500000</v>
      </c>
      <c r="J6" s="1"/>
      <c r="K6" s="116">
        <v>3800000</v>
      </c>
    </row>
    <row r="7" spans="3:11" s="4" customFormat="1" ht="80.25" customHeight="1" x14ac:dyDescent="0.25">
      <c r="C7" s="82">
        <v>3</v>
      </c>
      <c r="D7" s="81" t="s">
        <v>15</v>
      </c>
      <c r="E7" s="111"/>
      <c r="F7" s="111"/>
      <c r="G7" s="111"/>
      <c r="H7" s="111"/>
      <c r="I7" s="53">
        <v>8500000</v>
      </c>
      <c r="J7" s="112" t="s">
        <v>126</v>
      </c>
      <c r="K7" s="117">
        <v>6500000</v>
      </c>
    </row>
    <row r="8" spans="3:11" ht="38.25" customHeight="1" x14ac:dyDescent="0.3">
      <c r="C8" s="82">
        <v>4</v>
      </c>
      <c r="D8" s="81" t="s">
        <v>20</v>
      </c>
      <c r="E8" s="52"/>
      <c r="F8" s="52"/>
      <c r="G8" s="52"/>
      <c r="H8" s="52"/>
      <c r="I8" s="53">
        <v>7500000</v>
      </c>
      <c r="J8" s="1"/>
      <c r="K8" s="100">
        <v>4300000</v>
      </c>
    </row>
    <row r="9" spans="3:11" ht="38.25" customHeight="1" x14ac:dyDescent="0.25">
      <c r="C9" s="182"/>
      <c r="D9" s="182"/>
      <c r="E9" s="182"/>
      <c r="F9" s="183"/>
      <c r="G9" s="180" t="s">
        <v>179</v>
      </c>
      <c r="H9" s="181"/>
      <c r="I9" s="54">
        <f>SUM(I5:I8)</f>
        <v>27500000</v>
      </c>
      <c r="J9" s="54">
        <f t="shared" ref="J9:K9" si="0">SUM(J5:J8)</f>
        <v>0</v>
      </c>
      <c r="K9" s="119">
        <f t="shared" si="0"/>
        <v>19800000</v>
      </c>
    </row>
    <row r="13" spans="3:11" ht="18.75" x14ac:dyDescent="0.3">
      <c r="J13" s="118"/>
    </row>
  </sheetData>
  <mergeCells count="3">
    <mergeCell ref="C2:J2"/>
    <mergeCell ref="G9:H9"/>
    <mergeCell ref="C9:F9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3:J14"/>
  <sheetViews>
    <sheetView workbookViewId="0">
      <selection activeCell="J13" sqref="J13"/>
    </sheetView>
  </sheetViews>
  <sheetFormatPr defaultRowHeight="15" x14ac:dyDescent="0.25"/>
  <cols>
    <col min="1" max="1" width="3.5703125" customWidth="1"/>
    <col min="2" max="2" width="3.7109375" style="3" customWidth="1"/>
    <col min="3" max="3" width="34.28515625" customWidth="1"/>
    <col min="4" max="6" width="9.140625" style="3"/>
    <col min="7" max="7" width="11.5703125" bestFit="1" customWidth="1"/>
    <col min="8" max="8" width="12.85546875" customWidth="1"/>
    <col min="9" max="9" width="37.5703125" customWidth="1"/>
    <col min="10" max="10" width="14.42578125" customWidth="1"/>
  </cols>
  <sheetData>
    <row r="3" spans="2:10" ht="18.75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8</v>
      </c>
      <c r="G3" s="5" t="s">
        <v>4</v>
      </c>
      <c r="H3" s="5" t="s">
        <v>5</v>
      </c>
      <c r="I3" s="5" t="s">
        <v>6</v>
      </c>
      <c r="J3" s="101" t="s">
        <v>192</v>
      </c>
    </row>
    <row r="4" spans="2:10" x14ac:dyDescent="0.25">
      <c r="B4" s="2">
        <v>1</v>
      </c>
      <c r="C4" s="7" t="s">
        <v>17</v>
      </c>
      <c r="D4" s="2">
        <v>1</v>
      </c>
      <c r="E4" s="2" t="s">
        <v>13</v>
      </c>
      <c r="F4" s="2">
        <v>50</v>
      </c>
      <c r="G4" s="10">
        <v>300000</v>
      </c>
      <c r="H4" s="10">
        <f>D4*G4*F4</f>
        <v>15000000</v>
      </c>
      <c r="I4" s="1"/>
      <c r="J4" s="89">
        <f>50*280000</f>
        <v>14000000</v>
      </c>
    </row>
    <row r="5" spans="2:10" s="4" customFormat="1" ht="30" x14ac:dyDescent="0.25">
      <c r="B5" s="6">
        <v>2</v>
      </c>
      <c r="C5" s="7" t="s">
        <v>197</v>
      </c>
      <c r="D5" s="6">
        <v>1</v>
      </c>
      <c r="E5" s="6" t="s">
        <v>13</v>
      </c>
      <c r="F5" s="6">
        <v>40</v>
      </c>
      <c r="G5" s="11">
        <v>150000</v>
      </c>
      <c r="H5" s="11">
        <f t="shared" ref="H5:H13" si="0">D5*G5*F5</f>
        <v>6000000</v>
      </c>
      <c r="I5" s="8" t="s">
        <v>196</v>
      </c>
      <c r="J5" s="103">
        <f>100000*50</f>
        <v>5000000</v>
      </c>
    </row>
    <row r="6" spans="2:10" s="4" customFormat="1" x14ac:dyDescent="0.25">
      <c r="B6" s="6"/>
      <c r="C6" s="7" t="s">
        <v>198</v>
      </c>
      <c r="D6" s="6">
        <v>1</v>
      </c>
      <c r="E6" s="6" t="s">
        <v>154</v>
      </c>
      <c r="F6" s="6">
        <v>5</v>
      </c>
      <c r="G6" s="11">
        <v>150000</v>
      </c>
      <c r="H6" s="11">
        <f t="shared" si="0"/>
        <v>750000</v>
      </c>
      <c r="I6" s="8" t="s">
        <v>231</v>
      </c>
      <c r="J6" s="103">
        <f>100000*5</f>
        <v>500000</v>
      </c>
    </row>
    <row r="7" spans="2:10" s="4" customFormat="1" ht="41.25" customHeight="1" x14ac:dyDescent="0.25">
      <c r="B7" s="6">
        <v>3</v>
      </c>
      <c r="C7" s="7" t="s">
        <v>199</v>
      </c>
      <c r="D7" s="6">
        <v>1</v>
      </c>
      <c r="E7" s="6" t="s">
        <v>13</v>
      </c>
      <c r="F7" s="6">
        <v>5</v>
      </c>
      <c r="G7" s="11">
        <v>150000</v>
      </c>
      <c r="H7" s="11">
        <f t="shared" si="0"/>
        <v>750000</v>
      </c>
      <c r="I7" s="13" t="s">
        <v>226</v>
      </c>
      <c r="J7" s="103">
        <f>100000*50</f>
        <v>5000000</v>
      </c>
    </row>
    <row r="8" spans="2:10" s="4" customFormat="1" ht="41.25" customHeight="1" x14ac:dyDescent="0.25">
      <c r="B8" s="6">
        <v>4</v>
      </c>
      <c r="C8" s="7" t="s">
        <v>200</v>
      </c>
      <c r="D8" s="6">
        <v>2</v>
      </c>
      <c r="E8" s="6" t="s">
        <v>13</v>
      </c>
      <c r="F8" s="6">
        <v>40</v>
      </c>
      <c r="G8" s="11">
        <v>150000</v>
      </c>
      <c r="H8" s="11">
        <f t="shared" si="0"/>
        <v>12000000</v>
      </c>
      <c r="I8" s="13"/>
      <c r="J8" s="102">
        <f>100000*5</f>
        <v>500000</v>
      </c>
    </row>
    <row r="9" spans="2:10" x14ac:dyDescent="0.25">
      <c r="B9" s="2">
        <v>4</v>
      </c>
      <c r="C9" s="7" t="s">
        <v>18</v>
      </c>
      <c r="D9" s="2">
        <v>1</v>
      </c>
      <c r="E9" s="6" t="s">
        <v>13</v>
      </c>
      <c r="F9" s="6">
        <v>50</v>
      </c>
      <c r="G9" s="10">
        <v>260000</v>
      </c>
      <c r="H9" s="10">
        <f t="shared" si="0"/>
        <v>13000000</v>
      </c>
      <c r="I9" s="1"/>
      <c r="J9" s="89">
        <f>220000*30</f>
        <v>6600000</v>
      </c>
    </row>
    <row r="10" spans="2:10" s="95" customFormat="1" ht="30" x14ac:dyDescent="0.25">
      <c r="B10" s="6">
        <v>5</v>
      </c>
      <c r="C10" s="92" t="s">
        <v>185</v>
      </c>
      <c r="D10" s="6">
        <v>2</v>
      </c>
      <c r="E10" s="6" t="s">
        <v>13</v>
      </c>
      <c r="F10" s="6">
        <v>50</v>
      </c>
      <c r="G10" s="104">
        <v>150000</v>
      </c>
      <c r="H10" s="104">
        <f t="shared" si="0"/>
        <v>15000000</v>
      </c>
      <c r="I10" s="113" t="s">
        <v>212</v>
      </c>
      <c r="J10" s="114">
        <f>55*G10*2</f>
        <v>16500000</v>
      </c>
    </row>
    <row r="11" spans="2:10" x14ac:dyDescent="0.25">
      <c r="B11" s="2"/>
      <c r="C11" s="7"/>
      <c r="D11" s="2"/>
      <c r="E11" s="6"/>
      <c r="F11" s="2"/>
      <c r="G11" s="10"/>
      <c r="H11" s="10"/>
      <c r="I11" s="1"/>
      <c r="J11" s="89"/>
    </row>
    <row r="12" spans="2:10" s="4" customFormat="1" ht="30" x14ac:dyDescent="0.25">
      <c r="B12" s="6">
        <v>6</v>
      </c>
      <c r="C12" s="8" t="s">
        <v>184</v>
      </c>
      <c r="D12" s="6">
        <v>40</v>
      </c>
      <c r="E12" s="6" t="s">
        <v>13</v>
      </c>
      <c r="F12" s="6">
        <v>1</v>
      </c>
      <c r="G12" s="11">
        <v>10000</v>
      </c>
      <c r="H12" s="11">
        <f t="shared" si="0"/>
        <v>400000</v>
      </c>
      <c r="I12" s="7"/>
      <c r="J12" s="102">
        <f>8000*40</f>
        <v>320000</v>
      </c>
    </row>
    <row r="13" spans="2:10" x14ac:dyDescent="0.25">
      <c r="B13" s="199">
        <v>12</v>
      </c>
      <c r="C13" s="161" t="s">
        <v>239</v>
      </c>
      <c r="D13" s="199"/>
      <c r="E13" s="200" t="s">
        <v>13</v>
      </c>
      <c r="F13" s="199"/>
      <c r="G13" s="201"/>
      <c r="H13" s="201">
        <f t="shared" si="0"/>
        <v>0</v>
      </c>
      <c r="I13" s="202"/>
      <c r="J13" s="203"/>
    </row>
    <row r="14" spans="2:10" x14ac:dyDescent="0.25">
      <c r="G14" s="76" t="s">
        <v>21</v>
      </c>
      <c r="H14" s="80">
        <f>SUM(H4:H13)</f>
        <v>62900000</v>
      </c>
      <c r="I14" s="79">
        <f>SUM(I4:I13)</f>
        <v>0</v>
      </c>
      <c r="J14" s="115">
        <f>SUM(J4:J13)</f>
        <v>48420000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5:K23"/>
  <sheetViews>
    <sheetView topLeftCell="A4" workbookViewId="0">
      <selection activeCell="H14" sqref="H14"/>
    </sheetView>
  </sheetViews>
  <sheetFormatPr defaultRowHeight="15" x14ac:dyDescent="0.25"/>
  <cols>
    <col min="2" max="2" width="5.28515625" style="3" customWidth="1"/>
    <col min="3" max="3" width="21.28515625" customWidth="1"/>
    <col min="4" max="4" width="7.85546875" style="3" customWidth="1"/>
    <col min="5" max="5" width="10.140625" style="3" customWidth="1"/>
    <col min="6" max="6" width="11" style="3" customWidth="1"/>
    <col min="7" max="7" width="12" customWidth="1"/>
    <col min="8" max="8" width="13" customWidth="1"/>
    <col min="9" max="9" width="32.85546875" customWidth="1"/>
    <col min="10" max="10" width="14.140625" customWidth="1"/>
  </cols>
  <sheetData>
    <row r="5" spans="2:11" x14ac:dyDescent="0.25">
      <c r="B5" s="26" t="s">
        <v>61</v>
      </c>
      <c r="C5" s="26" t="s">
        <v>62</v>
      </c>
      <c r="D5" s="26" t="s">
        <v>63</v>
      </c>
      <c r="E5" s="26" t="s">
        <v>86</v>
      </c>
      <c r="F5" s="26" t="s">
        <v>3</v>
      </c>
      <c r="G5" s="26" t="s">
        <v>73</v>
      </c>
      <c r="H5" s="26" t="s">
        <v>64</v>
      </c>
      <c r="I5" s="1" t="s">
        <v>6</v>
      </c>
      <c r="J5" s="98" t="s">
        <v>192</v>
      </c>
    </row>
    <row r="6" spans="2:11" s="4" customFormat="1" ht="18" customHeight="1" x14ac:dyDescent="0.25">
      <c r="B6" s="6">
        <v>1</v>
      </c>
      <c r="C6" s="7" t="s">
        <v>170</v>
      </c>
      <c r="D6" s="6">
        <f>6*40</f>
        <v>240</v>
      </c>
      <c r="E6" s="6">
        <v>50</v>
      </c>
      <c r="F6" s="6" t="s">
        <v>92</v>
      </c>
      <c r="G6" s="23">
        <v>1500</v>
      </c>
      <c r="H6" s="11">
        <f t="shared" ref="H6:H13" si="0">D6*E6*G6</f>
        <v>18000000</v>
      </c>
      <c r="I6" s="91" t="s">
        <v>230</v>
      </c>
      <c r="J6" s="102">
        <f>6*40*1200*50</f>
        <v>14400000</v>
      </c>
    </row>
    <row r="7" spans="2:11" x14ac:dyDescent="0.25">
      <c r="B7" s="2">
        <v>2</v>
      </c>
      <c r="C7" s="30" t="s">
        <v>181</v>
      </c>
      <c r="D7" s="2">
        <v>150</v>
      </c>
      <c r="E7" s="6">
        <v>50</v>
      </c>
      <c r="F7" s="2" t="s">
        <v>93</v>
      </c>
      <c r="G7" s="29">
        <v>1500</v>
      </c>
      <c r="H7" s="10">
        <f t="shared" si="0"/>
        <v>11250000</v>
      </c>
      <c r="I7" s="1"/>
      <c r="J7" s="89">
        <f>100*55*1200</f>
        <v>6600000</v>
      </c>
    </row>
    <row r="8" spans="2:11" x14ac:dyDescent="0.25">
      <c r="B8" s="2">
        <v>3</v>
      </c>
      <c r="C8" s="30" t="s">
        <v>182</v>
      </c>
      <c r="D8" s="2">
        <v>50</v>
      </c>
      <c r="E8" s="6">
        <v>50</v>
      </c>
      <c r="F8" s="2" t="s">
        <v>92</v>
      </c>
      <c r="G8" s="29">
        <v>1500</v>
      </c>
      <c r="H8" s="10">
        <f t="shared" si="0"/>
        <v>3750000</v>
      </c>
      <c r="I8" s="1"/>
      <c r="J8" s="89">
        <f>30*30*1200</f>
        <v>1080000</v>
      </c>
    </row>
    <row r="9" spans="2:11" x14ac:dyDescent="0.25">
      <c r="B9" s="2">
        <v>4</v>
      </c>
      <c r="C9" s="30" t="s">
        <v>183</v>
      </c>
      <c r="D9" s="2">
        <v>50</v>
      </c>
      <c r="E9" s="2">
        <v>30</v>
      </c>
      <c r="F9" s="2" t="s">
        <v>92</v>
      </c>
      <c r="G9" s="29">
        <v>1500</v>
      </c>
      <c r="H9" s="10">
        <f t="shared" si="0"/>
        <v>2250000</v>
      </c>
      <c r="I9" s="1"/>
      <c r="J9" s="89">
        <f>15*30*1200</f>
        <v>540000</v>
      </c>
    </row>
    <row r="10" spans="2:11" x14ac:dyDescent="0.25">
      <c r="B10" s="2">
        <v>5</v>
      </c>
      <c r="C10" s="30" t="s">
        <v>195</v>
      </c>
      <c r="D10" s="90">
        <v>10000</v>
      </c>
      <c r="E10" s="2">
        <v>2</v>
      </c>
      <c r="F10" s="2" t="s">
        <v>92</v>
      </c>
      <c r="G10" s="29">
        <v>1500</v>
      </c>
      <c r="H10" s="10">
        <f t="shared" si="0"/>
        <v>30000000</v>
      </c>
      <c r="I10" s="1" t="s">
        <v>225</v>
      </c>
      <c r="J10" s="89">
        <f>5000*1200</f>
        <v>6000000</v>
      </c>
    </row>
    <row r="11" spans="2:11" x14ac:dyDescent="0.25">
      <c r="B11" s="2">
        <v>6</v>
      </c>
      <c r="C11" s="1" t="s">
        <v>87</v>
      </c>
      <c r="D11" s="2">
        <v>2</v>
      </c>
      <c r="E11" s="2">
        <v>60</v>
      </c>
      <c r="F11" s="2" t="s">
        <v>91</v>
      </c>
      <c r="G11" s="29">
        <v>15000</v>
      </c>
      <c r="H11" s="88">
        <v>0</v>
      </c>
      <c r="I11" s="1"/>
      <c r="J11" s="50">
        <f>H11</f>
        <v>0</v>
      </c>
    </row>
    <row r="12" spans="2:11" x14ac:dyDescent="0.25">
      <c r="B12" s="2">
        <v>7</v>
      </c>
      <c r="C12" s="1" t="s">
        <v>94</v>
      </c>
      <c r="D12" s="2">
        <v>2</v>
      </c>
      <c r="E12" s="2">
        <v>8</v>
      </c>
      <c r="F12" s="2" t="s">
        <v>96</v>
      </c>
      <c r="G12" s="29">
        <v>10000</v>
      </c>
      <c r="H12" s="10">
        <f>D12*E12*G12</f>
        <v>160000</v>
      </c>
      <c r="I12" s="1"/>
      <c r="J12" s="50">
        <f>H12</f>
        <v>160000</v>
      </c>
      <c r="K12" t="s">
        <v>227</v>
      </c>
    </row>
    <row r="13" spans="2:11" x14ac:dyDescent="0.25">
      <c r="B13" s="2">
        <v>8</v>
      </c>
      <c r="C13" s="1" t="s">
        <v>88</v>
      </c>
      <c r="D13" s="2">
        <v>4</v>
      </c>
      <c r="E13" s="2">
        <v>50</v>
      </c>
      <c r="F13" s="2" t="s">
        <v>91</v>
      </c>
      <c r="G13" s="29">
        <v>10000</v>
      </c>
      <c r="H13" s="88">
        <f t="shared" si="0"/>
        <v>2000000</v>
      </c>
      <c r="I13" s="1"/>
      <c r="J13" s="50">
        <f>H13</f>
        <v>2000000</v>
      </c>
    </row>
    <row r="14" spans="2:11" ht="16.5" customHeight="1" x14ac:dyDescent="0.25">
      <c r="B14" s="2">
        <v>9</v>
      </c>
      <c r="C14" s="1" t="s">
        <v>89</v>
      </c>
      <c r="D14" s="184"/>
      <c r="E14" s="185"/>
      <c r="F14" s="186"/>
      <c r="G14" s="44" t="s">
        <v>97</v>
      </c>
      <c r="H14" s="88">
        <v>500000</v>
      </c>
      <c r="I14" s="1"/>
      <c r="J14" s="50">
        <f>H14</f>
        <v>500000</v>
      </c>
    </row>
    <row r="15" spans="2:11" s="4" customFormat="1" ht="23.25" customHeight="1" x14ac:dyDescent="0.25">
      <c r="B15" s="6">
        <v>10</v>
      </c>
      <c r="C15" s="7" t="s">
        <v>90</v>
      </c>
      <c r="D15" s="6">
        <v>90</v>
      </c>
      <c r="E15" s="6">
        <v>1</v>
      </c>
      <c r="F15" s="6" t="s">
        <v>95</v>
      </c>
      <c r="G15" s="23">
        <v>2200</v>
      </c>
      <c r="H15" s="11">
        <v>250000</v>
      </c>
      <c r="I15" s="94" t="s">
        <v>191</v>
      </c>
      <c r="J15" s="102">
        <v>200000</v>
      </c>
    </row>
    <row r="16" spans="2:11" x14ac:dyDescent="0.25">
      <c r="G16" s="76" t="s">
        <v>179</v>
      </c>
      <c r="H16" s="78">
        <f>SUM(H6:H15)</f>
        <v>68160000</v>
      </c>
      <c r="I16" s="10"/>
      <c r="J16" s="105">
        <f>SUM(J6:J15)</f>
        <v>31480000</v>
      </c>
    </row>
    <row r="17" spans="5:9" x14ac:dyDescent="0.25">
      <c r="I17" s="140">
        <f>SUM(I6:I16)</f>
        <v>0</v>
      </c>
    </row>
    <row r="18" spans="5:9" x14ac:dyDescent="0.25">
      <c r="I18" s="31"/>
    </row>
    <row r="19" spans="5:9" x14ac:dyDescent="0.25">
      <c r="G19" s="47"/>
    </row>
    <row r="23" spans="5:9" x14ac:dyDescent="0.25">
      <c r="E23" s="97"/>
    </row>
  </sheetData>
  <mergeCells count="1">
    <mergeCell ref="D14:F14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5:I20"/>
  <sheetViews>
    <sheetView topLeftCell="A5" zoomScale="115" zoomScaleNormal="115" workbookViewId="0">
      <selection activeCell="J9" sqref="J9"/>
    </sheetView>
  </sheetViews>
  <sheetFormatPr defaultRowHeight="15" x14ac:dyDescent="0.25"/>
  <cols>
    <col min="2" max="2" width="6.28515625" style="3" customWidth="1"/>
    <col min="3" max="3" width="29.140625" customWidth="1"/>
    <col min="4" max="4" width="6.42578125" style="3" customWidth="1"/>
    <col min="5" max="5" width="9.140625" style="3"/>
    <col min="6" max="6" width="13.28515625" style="3" customWidth="1"/>
    <col min="7" max="7" width="13.7109375" customWidth="1"/>
    <col min="8" max="8" width="17.42578125" customWidth="1"/>
  </cols>
  <sheetData>
    <row r="5" spans="2:9" s="4" customFormat="1" ht="21" customHeight="1" x14ac:dyDescent="0.25">
      <c r="B5" s="18" t="s">
        <v>35</v>
      </c>
      <c r="C5" s="18" t="s">
        <v>36</v>
      </c>
      <c r="D5" s="18" t="s">
        <v>37</v>
      </c>
      <c r="E5" s="18" t="s">
        <v>3</v>
      </c>
      <c r="F5" s="18" t="s">
        <v>38</v>
      </c>
      <c r="G5" s="18" t="s">
        <v>39</v>
      </c>
      <c r="H5" s="18" t="s">
        <v>192</v>
      </c>
    </row>
    <row r="6" spans="2:9" ht="21" customHeight="1" x14ac:dyDescent="0.25">
      <c r="B6" s="14">
        <v>1</v>
      </c>
      <c r="C6" s="15" t="s">
        <v>123</v>
      </c>
      <c r="D6" s="14">
        <v>50</v>
      </c>
      <c r="E6" s="14" t="s">
        <v>13</v>
      </c>
      <c r="F6" s="155">
        <v>20000</v>
      </c>
      <c r="G6" s="36">
        <f>D6*F6</f>
        <v>1000000</v>
      </c>
      <c r="H6" s="89">
        <f>20*15000</f>
        <v>300000</v>
      </c>
    </row>
    <row r="7" spans="2:9" ht="21" customHeight="1" x14ac:dyDescent="0.25">
      <c r="B7" s="14">
        <v>2</v>
      </c>
      <c r="C7" s="15" t="s">
        <v>186</v>
      </c>
      <c r="D7" s="14">
        <v>4</v>
      </c>
      <c r="E7" s="14" t="s">
        <v>13</v>
      </c>
      <c r="F7" s="155">
        <v>50000</v>
      </c>
      <c r="G7" s="36">
        <f t="shared" ref="G7:G17" si="0">D7*F7</f>
        <v>200000</v>
      </c>
      <c r="H7" s="50">
        <f>G7</f>
        <v>200000</v>
      </c>
    </row>
    <row r="8" spans="2:9" ht="21" customHeight="1" x14ac:dyDescent="0.25">
      <c r="B8" s="14">
        <v>3</v>
      </c>
      <c r="C8" s="15" t="s">
        <v>34</v>
      </c>
      <c r="D8" s="14">
        <v>37</v>
      </c>
      <c r="E8" s="14" t="s">
        <v>13</v>
      </c>
      <c r="F8" s="155">
        <v>15000</v>
      </c>
      <c r="G8" s="36">
        <f t="shared" si="0"/>
        <v>555000</v>
      </c>
      <c r="H8" s="50">
        <f>25*10000</f>
        <v>250000</v>
      </c>
    </row>
    <row r="9" spans="2:9" ht="21" customHeight="1" x14ac:dyDescent="0.25">
      <c r="B9" s="14">
        <v>4</v>
      </c>
      <c r="C9" s="15" t="s">
        <v>42</v>
      </c>
      <c r="D9" s="14">
        <v>37</v>
      </c>
      <c r="E9" s="14" t="s">
        <v>13</v>
      </c>
      <c r="F9" s="155">
        <v>2500</v>
      </c>
      <c r="G9" s="36">
        <f t="shared" si="0"/>
        <v>92500</v>
      </c>
      <c r="H9" s="89">
        <f>25*5000</f>
        <v>125000</v>
      </c>
    </row>
    <row r="10" spans="2:9" ht="21" customHeight="1" x14ac:dyDescent="0.25">
      <c r="B10" s="14">
        <v>5</v>
      </c>
      <c r="C10" s="15" t="s">
        <v>31</v>
      </c>
      <c r="D10" s="14">
        <v>37</v>
      </c>
      <c r="E10" s="14" t="s">
        <v>13</v>
      </c>
      <c r="F10" s="155">
        <v>10000</v>
      </c>
      <c r="G10" s="36">
        <f t="shared" si="0"/>
        <v>370000</v>
      </c>
      <c r="H10" s="31">
        <f>25*7000</f>
        <v>175000</v>
      </c>
    </row>
    <row r="11" spans="2:9" ht="21" customHeight="1" x14ac:dyDescent="0.25">
      <c r="B11" s="14">
        <v>6</v>
      </c>
      <c r="C11" s="15" t="s">
        <v>33</v>
      </c>
      <c r="D11" s="14">
        <v>37</v>
      </c>
      <c r="E11" s="14" t="s">
        <v>13</v>
      </c>
      <c r="F11" s="155">
        <v>2000</v>
      </c>
      <c r="G11" s="36">
        <f t="shared" si="0"/>
        <v>74000</v>
      </c>
      <c r="H11" s="31">
        <f>5000*25</f>
        <v>125000</v>
      </c>
    </row>
    <row r="12" spans="2:9" ht="21" customHeight="1" x14ac:dyDescent="0.25">
      <c r="B12" s="14">
        <v>7</v>
      </c>
      <c r="C12" s="15" t="s">
        <v>43</v>
      </c>
      <c r="D12" s="14">
        <v>2</v>
      </c>
      <c r="E12" s="14" t="s">
        <v>44</v>
      </c>
      <c r="F12" s="155">
        <v>4000</v>
      </c>
      <c r="G12" s="36">
        <f t="shared" si="0"/>
        <v>8000</v>
      </c>
      <c r="H12" s="31">
        <f>8400*2</f>
        <v>16800</v>
      </c>
    </row>
    <row r="13" spans="2:9" ht="21" customHeight="1" x14ac:dyDescent="0.25">
      <c r="B13" s="14">
        <v>8</v>
      </c>
      <c r="C13" s="15" t="s">
        <v>32</v>
      </c>
      <c r="D13" s="14">
        <v>2</v>
      </c>
      <c r="E13" s="14" t="s">
        <v>44</v>
      </c>
      <c r="F13" s="155">
        <v>10000</v>
      </c>
      <c r="G13" s="36">
        <f t="shared" si="0"/>
        <v>20000</v>
      </c>
      <c r="H13" s="31">
        <f>30000</f>
        <v>30000</v>
      </c>
      <c r="I13" t="s">
        <v>228</v>
      </c>
    </row>
    <row r="14" spans="2:9" ht="21" customHeight="1" x14ac:dyDescent="0.25">
      <c r="B14" s="14">
        <v>10</v>
      </c>
      <c r="C14" s="15" t="s">
        <v>40</v>
      </c>
      <c r="D14" s="14">
        <v>50</v>
      </c>
      <c r="E14" s="14" t="s">
        <v>46</v>
      </c>
      <c r="F14" s="155">
        <v>2000</v>
      </c>
      <c r="G14" s="36">
        <f t="shared" si="0"/>
        <v>100000</v>
      </c>
      <c r="H14" s="31">
        <f>600*25</f>
        <v>15000</v>
      </c>
    </row>
    <row r="15" spans="2:9" ht="21" customHeight="1" x14ac:dyDescent="0.25">
      <c r="B15" s="14">
        <v>11</v>
      </c>
      <c r="C15" s="48" t="s">
        <v>156</v>
      </c>
      <c r="D15" s="14">
        <v>4</v>
      </c>
      <c r="E15" s="14" t="s">
        <v>46</v>
      </c>
      <c r="F15" s="155">
        <v>30000</v>
      </c>
      <c r="G15" s="36">
        <f t="shared" si="0"/>
        <v>120000</v>
      </c>
      <c r="H15" s="31">
        <f>D15*5000</f>
        <v>20000</v>
      </c>
    </row>
    <row r="16" spans="2:9" ht="21" customHeight="1" x14ac:dyDescent="0.25">
      <c r="B16" s="14">
        <v>12</v>
      </c>
      <c r="C16" s="15" t="s">
        <v>41</v>
      </c>
      <c r="D16" s="14">
        <v>3</v>
      </c>
      <c r="E16" s="14" t="s">
        <v>13</v>
      </c>
      <c r="F16" s="155">
        <v>2500</v>
      </c>
      <c r="G16" s="36">
        <f t="shared" si="0"/>
        <v>7500</v>
      </c>
      <c r="H16" s="31">
        <f>4500*1</f>
        <v>4500</v>
      </c>
    </row>
    <row r="17" spans="2:8" ht="21" customHeight="1" x14ac:dyDescent="0.25">
      <c r="B17" s="14">
        <v>13</v>
      </c>
      <c r="C17" s="15" t="s">
        <v>47</v>
      </c>
      <c r="D17" s="14">
        <v>1</v>
      </c>
      <c r="E17" s="14" t="s">
        <v>45</v>
      </c>
      <c r="F17" s="155">
        <v>10000</v>
      </c>
      <c r="G17" s="36">
        <f t="shared" si="0"/>
        <v>10000</v>
      </c>
      <c r="H17" s="31">
        <v>3000</v>
      </c>
    </row>
    <row r="18" spans="2:8" x14ac:dyDescent="0.25">
      <c r="B18" s="2">
        <v>15</v>
      </c>
      <c r="C18" s="15" t="s">
        <v>157</v>
      </c>
      <c r="D18" s="2">
        <v>1</v>
      </c>
      <c r="E18" s="2" t="s">
        <v>158</v>
      </c>
      <c r="F18" s="2" t="s">
        <v>149</v>
      </c>
      <c r="G18" s="10">
        <v>300000</v>
      </c>
      <c r="H18" s="31">
        <v>25000</v>
      </c>
    </row>
    <row r="19" spans="2:8" x14ac:dyDescent="0.25">
      <c r="G19" s="41">
        <f>SUM(G6:G17)</f>
        <v>2557000</v>
      </c>
      <c r="H19" s="143">
        <f>SUM(H6:H18)</f>
        <v>1289300</v>
      </c>
    </row>
    <row r="20" spans="2:8" x14ac:dyDescent="0.25">
      <c r="H20" s="24">
        <f>SUM(H6:H16)</f>
        <v>1261300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6:M55"/>
  <sheetViews>
    <sheetView topLeftCell="A33" workbookViewId="0">
      <selection activeCell="I13" sqref="I13"/>
    </sheetView>
  </sheetViews>
  <sheetFormatPr defaultRowHeight="15" x14ac:dyDescent="0.25"/>
  <cols>
    <col min="2" max="2" width="5.85546875" style="3" customWidth="1"/>
    <col min="3" max="3" width="36.7109375" style="38" customWidth="1"/>
    <col min="4" max="4" width="7.28515625" style="3" customWidth="1"/>
    <col min="5" max="5" width="7.42578125" style="3" customWidth="1"/>
    <col min="6" max="6" width="6" style="3" customWidth="1"/>
    <col min="7" max="7" width="10" style="12" customWidth="1"/>
    <col min="8" max="8" width="14.42578125" style="12" customWidth="1"/>
    <col min="9" max="9" width="14.28515625" style="31" bestFit="1" customWidth="1"/>
    <col min="10" max="10" width="9.5703125" bestFit="1" customWidth="1"/>
  </cols>
  <sheetData>
    <row r="6" spans="2:9" s="27" customFormat="1" ht="24" customHeight="1" x14ac:dyDescent="0.25">
      <c r="B6" s="26" t="s">
        <v>61</v>
      </c>
      <c r="C6" s="39" t="s">
        <v>62</v>
      </c>
      <c r="D6" s="26" t="s">
        <v>63</v>
      </c>
      <c r="E6" s="191" t="s">
        <v>232</v>
      </c>
      <c r="F6" s="26" t="s">
        <v>3</v>
      </c>
      <c r="G6" s="42" t="s">
        <v>73</v>
      </c>
      <c r="H6" s="42" t="s">
        <v>64</v>
      </c>
      <c r="I6" s="190" t="s">
        <v>192</v>
      </c>
    </row>
    <row r="7" spans="2:9" x14ac:dyDescent="0.25">
      <c r="B7" s="2">
        <v>1</v>
      </c>
      <c r="C7" s="40" t="s">
        <v>67</v>
      </c>
      <c r="D7" s="2">
        <v>30</v>
      </c>
      <c r="E7" s="2">
        <v>30</v>
      </c>
      <c r="F7" s="2" t="s">
        <v>84</v>
      </c>
      <c r="G7" s="43">
        <v>10000</v>
      </c>
      <c r="H7" s="43">
        <f>D7*G7</f>
        <v>300000</v>
      </c>
      <c r="I7" s="31">
        <f>4000*30</f>
        <v>120000</v>
      </c>
    </row>
    <row r="8" spans="2:9" x14ac:dyDescent="0.25">
      <c r="B8" s="2">
        <v>2</v>
      </c>
      <c r="C8" s="40" t="s">
        <v>68</v>
      </c>
      <c r="D8" s="2">
        <v>30</v>
      </c>
      <c r="E8" s="2">
        <v>20</v>
      </c>
      <c r="F8" s="2" t="s">
        <v>84</v>
      </c>
      <c r="G8" s="43">
        <v>10000</v>
      </c>
      <c r="H8" s="43">
        <f t="shared" ref="H8:H53" si="0">D8*G8</f>
        <v>300000</v>
      </c>
      <c r="I8" s="31">
        <f>5000*20</f>
        <v>100000</v>
      </c>
    </row>
    <row r="9" spans="2:9" x14ac:dyDescent="0.25">
      <c r="B9" s="2">
        <v>3</v>
      </c>
      <c r="C9" s="40" t="s">
        <v>69</v>
      </c>
      <c r="D9" s="2">
        <v>60</v>
      </c>
      <c r="E9" s="2"/>
      <c r="F9" s="2" t="s">
        <v>84</v>
      </c>
      <c r="G9" s="43">
        <v>7000</v>
      </c>
      <c r="H9" s="43">
        <f t="shared" si="0"/>
        <v>420000</v>
      </c>
      <c r="I9" s="31">
        <f>4500*50</f>
        <v>225000</v>
      </c>
    </row>
    <row r="10" spans="2:9" x14ac:dyDescent="0.25">
      <c r="B10" s="2">
        <v>4</v>
      </c>
      <c r="C10" s="40" t="s">
        <v>70</v>
      </c>
      <c r="D10" s="2">
        <v>10</v>
      </c>
      <c r="E10" s="2"/>
      <c r="F10" s="2" t="s">
        <v>84</v>
      </c>
      <c r="G10" s="43">
        <v>10000</v>
      </c>
      <c r="H10" s="43">
        <f t="shared" si="0"/>
        <v>100000</v>
      </c>
      <c r="I10" s="31">
        <f>2000*150</f>
        <v>300000</v>
      </c>
    </row>
    <row r="11" spans="2:9" x14ac:dyDescent="0.25">
      <c r="B11" s="2">
        <v>5</v>
      </c>
      <c r="C11" s="40" t="s">
        <v>71</v>
      </c>
      <c r="D11" s="2">
        <v>1</v>
      </c>
      <c r="E11" s="2"/>
      <c r="F11" s="2" t="s">
        <v>84</v>
      </c>
      <c r="G11" s="43">
        <v>50000</v>
      </c>
      <c r="H11" s="43">
        <f t="shared" si="0"/>
        <v>50000</v>
      </c>
      <c r="I11" s="31">
        <v>65000</v>
      </c>
    </row>
    <row r="12" spans="2:9" x14ac:dyDescent="0.25">
      <c r="B12" s="2">
        <v>6</v>
      </c>
      <c r="C12" s="40" t="s">
        <v>72</v>
      </c>
      <c r="D12" s="2">
        <v>8</v>
      </c>
      <c r="E12" s="2"/>
      <c r="F12" s="2" t="s">
        <v>154</v>
      </c>
      <c r="G12" s="43">
        <v>10000</v>
      </c>
      <c r="H12" s="43">
        <f t="shared" si="0"/>
        <v>80000</v>
      </c>
      <c r="I12" s="31">
        <f>5000*8</f>
        <v>40000</v>
      </c>
    </row>
    <row r="13" spans="2:9" x14ac:dyDescent="0.25">
      <c r="B13" s="2">
        <v>7</v>
      </c>
      <c r="C13" s="40" t="s">
        <v>234</v>
      </c>
      <c r="D13" s="2">
        <v>11</v>
      </c>
      <c r="E13" s="2"/>
      <c r="F13" s="2" t="s">
        <v>85</v>
      </c>
      <c r="G13" s="43">
        <v>400000</v>
      </c>
      <c r="H13" s="43">
        <f t="shared" si="0"/>
        <v>4400000</v>
      </c>
    </row>
    <row r="14" spans="2:9" x14ac:dyDescent="0.25">
      <c r="B14" s="2">
        <v>9</v>
      </c>
      <c r="C14" s="40" t="s">
        <v>235</v>
      </c>
      <c r="D14" s="2">
        <v>13</v>
      </c>
      <c r="E14" s="2"/>
      <c r="F14" s="2" t="s">
        <v>85</v>
      </c>
      <c r="G14" s="43">
        <v>400000</v>
      </c>
      <c r="H14" s="43">
        <f t="shared" si="0"/>
        <v>5200000</v>
      </c>
    </row>
    <row r="15" spans="2:9" x14ac:dyDescent="0.25">
      <c r="B15" s="2">
        <v>11</v>
      </c>
      <c r="C15" s="40" t="s">
        <v>74</v>
      </c>
      <c r="D15" s="2">
        <v>2</v>
      </c>
      <c r="E15" s="2">
        <v>1</v>
      </c>
      <c r="F15" s="2" t="s">
        <v>121</v>
      </c>
      <c r="G15" s="43">
        <v>5000</v>
      </c>
      <c r="H15" s="43">
        <f t="shared" si="0"/>
        <v>10000</v>
      </c>
      <c r="I15" s="31">
        <f>1*G15</f>
        <v>5000</v>
      </c>
    </row>
    <row r="16" spans="2:9" x14ac:dyDescent="0.25">
      <c r="B16" s="2">
        <v>12</v>
      </c>
      <c r="C16" s="40" t="s">
        <v>65</v>
      </c>
      <c r="D16" s="2">
        <v>4</v>
      </c>
      <c r="E16" s="2">
        <v>1</v>
      </c>
      <c r="F16" s="2" t="s">
        <v>154</v>
      </c>
      <c r="G16" s="44">
        <v>3000</v>
      </c>
      <c r="H16" s="43">
        <f t="shared" si="0"/>
        <v>12000</v>
      </c>
      <c r="I16" s="31">
        <f>E16*G16</f>
        <v>3000</v>
      </c>
    </row>
    <row r="17" spans="2:9" x14ac:dyDescent="0.25">
      <c r="B17" s="2">
        <v>14</v>
      </c>
      <c r="C17" s="40" t="s">
        <v>187</v>
      </c>
      <c r="D17" s="2">
        <v>1</v>
      </c>
      <c r="E17" s="2">
        <v>1</v>
      </c>
      <c r="F17" s="2" t="s">
        <v>121</v>
      </c>
      <c r="G17" s="43">
        <v>35000</v>
      </c>
      <c r="H17" s="43">
        <f t="shared" si="0"/>
        <v>35000</v>
      </c>
      <c r="I17" s="31">
        <v>75000</v>
      </c>
    </row>
    <row r="18" spans="2:9" x14ac:dyDescent="0.25">
      <c r="B18" s="2">
        <v>17</v>
      </c>
      <c r="C18" s="40" t="s">
        <v>75</v>
      </c>
      <c r="D18" s="2">
        <v>1</v>
      </c>
      <c r="E18" s="2"/>
      <c r="F18" s="2" t="s">
        <v>188</v>
      </c>
      <c r="G18" s="43">
        <v>25000</v>
      </c>
      <c r="H18" s="43">
        <f t="shared" si="0"/>
        <v>25000</v>
      </c>
      <c r="I18" s="31">
        <v>18000</v>
      </c>
    </row>
    <row r="19" spans="2:9" x14ac:dyDescent="0.25">
      <c r="B19" s="2">
        <v>18</v>
      </c>
      <c r="C19" s="40" t="s">
        <v>76</v>
      </c>
      <c r="D19" s="2">
        <v>1</v>
      </c>
      <c r="E19" s="2"/>
      <c r="F19" s="2" t="s">
        <v>188</v>
      </c>
      <c r="G19" s="43">
        <v>25000</v>
      </c>
      <c r="H19" s="43">
        <f t="shared" si="0"/>
        <v>25000</v>
      </c>
      <c r="I19" s="31">
        <v>18000</v>
      </c>
    </row>
    <row r="20" spans="2:9" x14ac:dyDescent="0.25">
      <c r="B20" s="2">
        <v>19</v>
      </c>
      <c r="C20" s="40" t="s">
        <v>77</v>
      </c>
      <c r="D20" s="2">
        <v>1</v>
      </c>
      <c r="E20" s="2"/>
      <c r="F20" s="2" t="s">
        <v>188</v>
      </c>
      <c r="G20" s="43">
        <v>25000</v>
      </c>
      <c r="H20" s="43">
        <f t="shared" si="0"/>
        <v>25000</v>
      </c>
      <c r="I20" s="31">
        <v>18000</v>
      </c>
    </row>
    <row r="21" spans="2:9" x14ac:dyDescent="0.25">
      <c r="B21" s="2">
        <v>20</v>
      </c>
      <c r="C21" s="40" t="s">
        <v>78</v>
      </c>
      <c r="D21" s="2">
        <v>1</v>
      </c>
      <c r="E21" s="2"/>
      <c r="F21" s="2" t="s">
        <v>121</v>
      </c>
      <c r="G21" s="43">
        <v>10000</v>
      </c>
      <c r="H21" s="43">
        <f t="shared" si="0"/>
        <v>10000</v>
      </c>
      <c r="I21" s="31">
        <v>5000</v>
      </c>
    </row>
    <row r="22" spans="2:9" x14ac:dyDescent="0.25">
      <c r="B22" s="2">
        <v>21</v>
      </c>
      <c r="C22" s="40" t="s">
        <v>79</v>
      </c>
      <c r="D22" s="2">
        <v>1</v>
      </c>
      <c r="E22" s="2"/>
      <c r="F22" s="2" t="s">
        <v>162</v>
      </c>
      <c r="G22" s="43">
        <v>5000</v>
      </c>
      <c r="H22" s="43">
        <f t="shared" si="0"/>
        <v>5000</v>
      </c>
      <c r="I22" s="31">
        <v>48000</v>
      </c>
    </row>
    <row r="23" spans="2:9" x14ac:dyDescent="0.25">
      <c r="B23" s="2">
        <v>23</v>
      </c>
      <c r="C23" s="40" t="s">
        <v>80</v>
      </c>
      <c r="D23" s="2">
        <v>5</v>
      </c>
      <c r="E23" s="2"/>
      <c r="F23" s="2" t="s">
        <v>160</v>
      </c>
      <c r="G23" s="44">
        <v>100</v>
      </c>
      <c r="H23" s="43">
        <f t="shared" si="0"/>
        <v>500</v>
      </c>
      <c r="I23" s="31">
        <v>5000</v>
      </c>
    </row>
    <row r="24" spans="2:9" x14ac:dyDescent="0.25">
      <c r="B24" s="2">
        <v>26</v>
      </c>
      <c r="C24" s="40" t="s">
        <v>165</v>
      </c>
      <c r="D24" s="2">
        <v>1</v>
      </c>
      <c r="E24" s="2"/>
      <c r="F24" s="2" t="s">
        <v>164</v>
      </c>
      <c r="G24" s="43">
        <v>5000</v>
      </c>
      <c r="H24" s="43">
        <f t="shared" si="0"/>
        <v>5000</v>
      </c>
      <c r="I24" s="31">
        <v>10000</v>
      </c>
    </row>
    <row r="25" spans="2:9" x14ac:dyDescent="0.25">
      <c r="B25" s="2">
        <v>27</v>
      </c>
      <c r="C25" s="40" t="s">
        <v>163</v>
      </c>
      <c r="D25" s="2">
        <v>1</v>
      </c>
      <c r="E25" s="2"/>
      <c r="F25" s="2" t="s">
        <v>164</v>
      </c>
      <c r="G25" s="44">
        <v>5000</v>
      </c>
      <c r="H25" s="43">
        <f t="shared" si="0"/>
        <v>5000</v>
      </c>
      <c r="I25" s="31">
        <v>20000</v>
      </c>
    </row>
    <row r="26" spans="2:9" x14ac:dyDescent="0.25">
      <c r="B26" s="2">
        <v>28</v>
      </c>
      <c r="C26" s="40" t="s">
        <v>81</v>
      </c>
      <c r="D26" s="2">
        <v>10</v>
      </c>
      <c r="E26" s="2"/>
      <c r="F26" s="2" t="s">
        <v>159</v>
      </c>
      <c r="G26" s="43">
        <v>20000</v>
      </c>
      <c r="H26" s="43">
        <f t="shared" si="0"/>
        <v>200000</v>
      </c>
      <c r="I26" s="31">
        <f>12500*D26</f>
        <v>125000</v>
      </c>
    </row>
    <row r="27" spans="2:9" x14ac:dyDescent="0.25">
      <c r="B27" s="2">
        <v>29</v>
      </c>
      <c r="C27" s="40" t="s">
        <v>82</v>
      </c>
      <c r="D27" s="2">
        <v>4</v>
      </c>
      <c r="E27" s="2"/>
      <c r="F27" s="2" t="s">
        <v>160</v>
      </c>
      <c r="G27" s="43">
        <v>20000</v>
      </c>
      <c r="H27" s="43"/>
    </row>
    <row r="28" spans="2:9" x14ac:dyDescent="0.25">
      <c r="B28" s="2">
        <v>30</v>
      </c>
      <c r="C28" s="40" t="s">
        <v>66</v>
      </c>
      <c r="D28" s="2">
        <v>10</v>
      </c>
      <c r="E28" s="2">
        <v>20</v>
      </c>
      <c r="F28" s="2" t="s">
        <v>159</v>
      </c>
      <c r="G28" s="43">
        <v>8000</v>
      </c>
      <c r="H28" s="43">
        <f t="shared" si="0"/>
        <v>80000</v>
      </c>
      <c r="I28" s="31">
        <f>E28*7500</f>
        <v>150000</v>
      </c>
    </row>
    <row r="29" spans="2:9" x14ac:dyDescent="0.25">
      <c r="B29" s="16">
        <v>32</v>
      </c>
      <c r="C29" s="32" t="s">
        <v>155</v>
      </c>
      <c r="D29" s="16">
        <v>2</v>
      </c>
      <c r="E29" s="16">
        <v>2</v>
      </c>
      <c r="F29" s="16" t="s">
        <v>161</v>
      </c>
      <c r="G29" s="33">
        <v>80000</v>
      </c>
      <c r="H29" s="43">
        <f t="shared" si="0"/>
        <v>160000</v>
      </c>
      <c r="I29" s="31">
        <f>270000*2</f>
        <v>540000</v>
      </c>
    </row>
    <row r="30" spans="2:9" x14ac:dyDescent="0.25">
      <c r="B30" s="16">
        <v>33</v>
      </c>
      <c r="C30" s="32" t="s">
        <v>118</v>
      </c>
      <c r="D30" s="16">
        <v>10</v>
      </c>
      <c r="E30" s="16"/>
      <c r="F30" s="16" t="s">
        <v>84</v>
      </c>
      <c r="G30" s="46">
        <v>1200</v>
      </c>
      <c r="H30" s="43">
        <f t="shared" si="0"/>
        <v>12000</v>
      </c>
      <c r="I30" s="31">
        <f>2500*10</f>
        <v>25000</v>
      </c>
    </row>
    <row r="31" spans="2:9" x14ac:dyDescent="0.25">
      <c r="B31" s="16">
        <v>31</v>
      </c>
      <c r="C31" s="32" t="s">
        <v>119</v>
      </c>
      <c r="D31" s="16">
        <v>10</v>
      </c>
      <c r="E31" s="16"/>
      <c r="F31" s="16" t="s">
        <v>84</v>
      </c>
      <c r="G31" s="46">
        <v>1500</v>
      </c>
      <c r="H31" s="43">
        <f t="shared" si="0"/>
        <v>15000</v>
      </c>
      <c r="I31" s="31">
        <f t="shared" ref="I31:I32" si="1">2500*10</f>
        <v>25000</v>
      </c>
    </row>
    <row r="32" spans="2:9" x14ac:dyDescent="0.25">
      <c r="B32" s="16">
        <v>32</v>
      </c>
      <c r="C32" s="32" t="s">
        <v>120</v>
      </c>
      <c r="D32" s="16">
        <v>10</v>
      </c>
      <c r="E32" s="16"/>
      <c r="F32" s="16" t="s">
        <v>84</v>
      </c>
      <c r="G32" s="46">
        <v>2000</v>
      </c>
      <c r="H32" s="43">
        <f t="shared" si="0"/>
        <v>20000</v>
      </c>
      <c r="I32" s="31">
        <f t="shared" si="1"/>
        <v>25000</v>
      </c>
    </row>
    <row r="33" spans="2:9" x14ac:dyDescent="0.25">
      <c r="B33" s="16">
        <v>33</v>
      </c>
      <c r="C33" s="32" t="s">
        <v>116</v>
      </c>
      <c r="D33" s="16">
        <v>1</v>
      </c>
      <c r="E33" s="16"/>
      <c r="F33" s="16" t="s">
        <v>154</v>
      </c>
      <c r="G33" s="46">
        <v>15000</v>
      </c>
      <c r="H33" s="43">
        <f t="shared" si="0"/>
        <v>15000</v>
      </c>
      <c r="I33" s="31">
        <v>15000</v>
      </c>
    </row>
    <row r="34" spans="2:9" x14ac:dyDescent="0.25">
      <c r="B34" s="16">
        <v>34</v>
      </c>
      <c r="C34" s="32" t="s">
        <v>117</v>
      </c>
      <c r="D34" s="16">
        <v>1</v>
      </c>
      <c r="E34" s="16"/>
      <c r="F34" s="16" t="s">
        <v>154</v>
      </c>
      <c r="G34" s="46">
        <v>15000</v>
      </c>
      <c r="H34" s="43">
        <f t="shared" si="0"/>
        <v>15000</v>
      </c>
      <c r="I34" s="31">
        <v>15000</v>
      </c>
    </row>
    <row r="35" spans="2:9" x14ac:dyDescent="0.25">
      <c r="B35" s="16">
        <v>35</v>
      </c>
      <c r="C35" s="32" t="s">
        <v>104</v>
      </c>
      <c r="D35" s="16">
        <v>4</v>
      </c>
      <c r="E35" s="16">
        <v>3</v>
      </c>
      <c r="F35" s="16" t="s">
        <v>154</v>
      </c>
      <c r="G35" s="33">
        <v>50000</v>
      </c>
      <c r="H35" s="43">
        <f t="shared" si="0"/>
        <v>200000</v>
      </c>
      <c r="I35" s="31">
        <v>20000</v>
      </c>
    </row>
    <row r="36" spans="2:9" x14ac:dyDescent="0.25">
      <c r="B36" s="16">
        <v>36</v>
      </c>
      <c r="C36" s="32" t="s">
        <v>103</v>
      </c>
      <c r="D36" s="16">
        <v>1</v>
      </c>
      <c r="E36" s="16"/>
      <c r="F36" s="16" t="s">
        <v>162</v>
      </c>
      <c r="G36" s="33">
        <v>10000</v>
      </c>
      <c r="H36" s="43">
        <f t="shared" si="0"/>
        <v>10000</v>
      </c>
      <c r="I36" s="31">
        <v>20000</v>
      </c>
    </row>
    <row r="37" spans="2:9" x14ac:dyDescent="0.25">
      <c r="B37" s="16">
        <v>37</v>
      </c>
      <c r="C37" s="32" t="s">
        <v>105</v>
      </c>
      <c r="D37" s="16">
        <v>3</v>
      </c>
      <c r="E37" s="16">
        <v>2</v>
      </c>
      <c r="F37" s="16" t="s">
        <v>84</v>
      </c>
      <c r="G37" s="45">
        <v>5000</v>
      </c>
      <c r="H37" s="43">
        <f t="shared" si="0"/>
        <v>15000</v>
      </c>
      <c r="I37" s="31">
        <f>E37*16000</f>
        <v>32000</v>
      </c>
    </row>
    <row r="38" spans="2:9" x14ac:dyDescent="0.25">
      <c r="B38" s="16">
        <v>38</v>
      </c>
      <c r="C38" s="32" t="s">
        <v>99</v>
      </c>
      <c r="D38" s="16">
        <v>2</v>
      </c>
      <c r="E38" s="16">
        <v>1</v>
      </c>
      <c r="F38" s="37" t="s">
        <v>100</v>
      </c>
      <c r="G38" s="45">
        <v>750</v>
      </c>
      <c r="H38" s="43">
        <f t="shared" si="0"/>
        <v>1500</v>
      </c>
      <c r="I38" s="31">
        <v>5000</v>
      </c>
    </row>
    <row r="39" spans="2:9" x14ac:dyDescent="0.25">
      <c r="B39" s="16">
        <v>39</v>
      </c>
      <c r="C39" s="32" t="s">
        <v>101</v>
      </c>
      <c r="D39" s="16">
        <v>5</v>
      </c>
      <c r="E39" s="16"/>
      <c r="F39" s="16"/>
      <c r="G39" s="34">
        <v>1500</v>
      </c>
      <c r="H39" s="43">
        <f>G39*D39</f>
        <v>7500</v>
      </c>
      <c r="I39" s="31">
        <f>1000*3</f>
        <v>3000</v>
      </c>
    </row>
    <row r="40" spans="2:9" x14ac:dyDescent="0.25">
      <c r="B40" s="16">
        <v>40</v>
      </c>
      <c r="C40" s="32" t="s">
        <v>102</v>
      </c>
      <c r="D40" s="16">
        <v>3</v>
      </c>
      <c r="E40" s="16">
        <v>2</v>
      </c>
      <c r="F40" s="16"/>
      <c r="G40" s="33">
        <v>30000</v>
      </c>
      <c r="H40" s="43">
        <f t="shared" si="0"/>
        <v>90000</v>
      </c>
      <c r="I40" s="31">
        <f>15000*E40</f>
        <v>30000</v>
      </c>
    </row>
    <row r="41" spans="2:9" x14ac:dyDescent="0.25">
      <c r="B41" s="16">
        <v>41</v>
      </c>
      <c r="C41" s="32" t="s">
        <v>106</v>
      </c>
      <c r="D41" s="16">
        <v>6</v>
      </c>
      <c r="E41" s="16">
        <v>3</v>
      </c>
      <c r="F41" s="16"/>
      <c r="G41" s="45">
        <v>1500</v>
      </c>
      <c r="H41" s="43">
        <f t="shared" si="0"/>
        <v>9000</v>
      </c>
      <c r="I41" s="31">
        <f>800*E41</f>
        <v>2400</v>
      </c>
    </row>
    <row r="42" spans="2:9" x14ac:dyDescent="0.25">
      <c r="B42" s="16">
        <v>42</v>
      </c>
      <c r="C42" s="32" t="s">
        <v>115</v>
      </c>
      <c r="D42" s="16">
        <v>3</v>
      </c>
      <c r="E42" s="16">
        <v>2</v>
      </c>
      <c r="F42" s="16"/>
      <c r="G42" s="33">
        <v>50000</v>
      </c>
      <c r="H42" s="43">
        <f t="shared" si="0"/>
        <v>150000</v>
      </c>
      <c r="I42" s="31">
        <f>75000*E42</f>
        <v>150000</v>
      </c>
    </row>
    <row r="43" spans="2:9" x14ac:dyDescent="0.25">
      <c r="B43" s="16">
        <v>43</v>
      </c>
      <c r="C43" s="32" t="s">
        <v>107</v>
      </c>
      <c r="D43" s="16">
        <v>2</v>
      </c>
      <c r="E43" s="16">
        <v>1</v>
      </c>
      <c r="F43" s="16"/>
      <c r="G43" s="33">
        <v>25000</v>
      </c>
      <c r="H43" s="43">
        <f t="shared" si="0"/>
        <v>50000</v>
      </c>
      <c r="I43" s="31">
        <f>45000*E43</f>
        <v>45000</v>
      </c>
    </row>
    <row r="44" spans="2:9" x14ac:dyDescent="0.25">
      <c r="B44" s="16">
        <v>44</v>
      </c>
      <c r="C44" s="32" t="s">
        <v>108</v>
      </c>
      <c r="D44" s="16">
        <v>2</v>
      </c>
      <c r="E44" s="16">
        <v>2</v>
      </c>
      <c r="F44" s="16"/>
      <c r="G44" s="33">
        <v>50000</v>
      </c>
      <c r="H44" s="43">
        <f t="shared" si="0"/>
        <v>100000</v>
      </c>
      <c r="I44" s="31">
        <f>18000*E44</f>
        <v>36000</v>
      </c>
    </row>
    <row r="45" spans="2:9" x14ac:dyDescent="0.25">
      <c r="B45" s="16">
        <v>45</v>
      </c>
      <c r="C45" s="32" t="s">
        <v>125</v>
      </c>
      <c r="D45" s="16">
        <v>2</v>
      </c>
      <c r="E45" s="16">
        <v>2</v>
      </c>
      <c r="F45" s="16"/>
      <c r="G45" s="45">
        <v>1500</v>
      </c>
      <c r="H45" s="43">
        <f t="shared" si="0"/>
        <v>3000</v>
      </c>
      <c r="I45" s="31">
        <f>1200*2</f>
        <v>2400</v>
      </c>
    </row>
    <row r="46" spans="2:9" x14ac:dyDescent="0.25">
      <c r="B46" s="16">
        <v>46</v>
      </c>
      <c r="C46" s="32" t="s">
        <v>109</v>
      </c>
      <c r="D46" s="16">
        <v>2</v>
      </c>
      <c r="E46" s="16">
        <v>1</v>
      </c>
      <c r="F46" s="16"/>
      <c r="G46" s="33">
        <v>30000</v>
      </c>
      <c r="H46" s="43">
        <f t="shared" si="0"/>
        <v>60000</v>
      </c>
      <c r="I46" s="31">
        <f>E46*3000</f>
        <v>3000</v>
      </c>
    </row>
    <row r="47" spans="2:9" x14ac:dyDescent="0.25">
      <c r="B47" s="16">
        <v>47</v>
      </c>
      <c r="C47" s="32" t="s">
        <v>110</v>
      </c>
      <c r="D47" s="16">
        <v>10</v>
      </c>
      <c r="E47" s="16">
        <v>5</v>
      </c>
      <c r="F47" s="16"/>
      <c r="G47" s="46">
        <v>1500</v>
      </c>
      <c r="H47" s="43">
        <f t="shared" si="0"/>
        <v>15000</v>
      </c>
      <c r="I47" s="31">
        <f>1000*E47</f>
        <v>5000</v>
      </c>
    </row>
    <row r="48" spans="2:9" x14ac:dyDescent="0.25">
      <c r="B48" s="16">
        <v>48</v>
      </c>
      <c r="C48" s="32" t="s">
        <v>111</v>
      </c>
      <c r="D48" s="16">
        <v>20</v>
      </c>
      <c r="E48" s="16"/>
      <c r="F48" s="16"/>
      <c r="G48" s="46">
        <v>2500</v>
      </c>
      <c r="H48" s="43">
        <f t="shared" si="0"/>
        <v>50000</v>
      </c>
      <c r="I48" s="31">
        <f>2500*5</f>
        <v>12500</v>
      </c>
    </row>
    <row r="49" spans="2:13" x14ac:dyDescent="0.25">
      <c r="B49" s="16">
        <v>50</v>
      </c>
      <c r="C49" s="32" t="s">
        <v>114</v>
      </c>
      <c r="D49" s="16">
        <v>1</v>
      </c>
      <c r="E49" s="16"/>
      <c r="F49" s="16"/>
      <c r="G49" s="33">
        <v>150000</v>
      </c>
      <c r="H49" s="43">
        <f t="shared" si="0"/>
        <v>150000</v>
      </c>
      <c r="I49" s="31">
        <f>2*50000</f>
        <v>100000</v>
      </c>
    </row>
    <row r="50" spans="2:13" x14ac:dyDescent="0.25">
      <c r="B50" s="16">
        <v>51</v>
      </c>
      <c r="C50" s="32" t="s">
        <v>83</v>
      </c>
      <c r="D50" s="16">
        <v>1</v>
      </c>
      <c r="E50" s="16"/>
      <c r="F50" s="16"/>
      <c r="G50" s="33">
        <v>55000</v>
      </c>
      <c r="H50" s="43">
        <f t="shared" si="0"/>
        <v>55000</v>
      </c>
      <c r="I50" s="31">
        <f>1500*1</f>
        <v>1500</v>
      </c>
    </row>
    <row r="51" spans="2:13" x14ac:dyDescent="0.25">
      <c r="B51" s="16">
        <v>51</v>
      </c>
      <c r="C51" s="32" t="s">
        <v>112</v>
      </c>
      <c r="D51" s="16">
        <v>2</v>
      </c>
      <c r="E51" s="16">
        <v>2</v>
      </c>
      <c r="F51" s="16"/>
      <c r="G51" s="33">
        <v>18000</v>
      </c>
      <c r="H51" s="43">
        <f t="shared" si="0"/>
        <v>36000</v>
      </c>
      <c r="I51" s="31">
        <f>E51*10000</f>
        <v>20000</v>
      </c>
      <c r="J51" s="89">
        <v>2000</v>
      </c>
      <c r="K51">
        <v>9</v>
      </c>
      <c r="L51">
        <v>2</v>
      </c>
      <c r="M51">
        <f>J51*K51*L51</f>
        <v>36000</v>
      </c>
    </row>
    <row r="52" spans="2:13" x14ac:dyDescent="0.25">
      <c r="B52" s="16">
        <v>52</v>
      </c>
      <c r="C52" s="32" t="s">
        <v>113</v>
      </c>
      <c r="D52" s="16">
        <v>2</v>
      </c>
      <c r="E52" s="16">
        <v>2</v>
      </c>
      <c r="F52" s="16"/>
      <c r="G52" s="33">
        <v>25000</v>
      </c>
      <c r="H52" s="66">
        <f t="shared" si="0"/>
        <v>50000</v>
      </c>
      <c r="I52" s="31">
        <f>E52*12000</f>
        <v>24000</v>
      </c>
    </row>
    <row r="53" spans="2:13" x14ac:dyDescent="0.25">
      <c r="B53" s="16">
        <v>53</v>
      </c>
      <c r="C53" s="32" t="s">
        <v>189</v>
      </c>
      <c r="D53" s="16">
        <v>2</v>
      </c>
      <c r="E53" s="16">
        <v>2</v>
      </c>
      <c r="F53" s="16"/>
      <c r="G53" s="196">
        <v>25000</v>
      </c>
      <c r="H53" s="43">
        <f t="shared" si="0"/>
        <v>50000</v>
      </c>
      <c r="I53" s="10">
        <f t="shared" ref="I53" si="2">E53*10000</f>
        <v>20000</v>
      </c>
    </row>
    <row r="54" spans="2:13" x14ac:dyDescent="0.25">
      <c r="B54" s="16">
        <v>54</v>
      </c>
      <c r="C54" s="32" t="s">
        <v>236</v>
      </c>
      <c r="D54" s="193"/>
      <c r="E54" s="194">
        <v>1</v>
      </c>
      <c r="F54" s="194"/>
      <c r="G54" s="195">
        <v>55000</v>
      </c>
      <c r="H54" s="43"/>
      <c r="I54" s="10"/>
    </row>
    <row r="55" spans="2:13" ht="15.75" thickBot="1" x14ac:dyDescent="0.3">
      <c r="B55" s="28" t="s">
        <v>22</v>
      </c>
      <c r="D55" s="187" t="s">
        <v>178</v>
      </c>
      <c r="E55" s="188"/>
      <c r="F55" s="188"/>
      <c r="G55" s="188"/>
      <c r="H55" s="197">
        <f>SUM(H7:H53)</f>
        <v>12626500</v>
      </c>
      <c r="I55" s="198">
        <f>SUM(I7:I53)</f>
        <v>2526800</v>
      </c>
    </row>
  </sheetData>
  <mergeCells count="1">
    <mergeCell ref="D55:G55"/>
  </mergeCells>
  <pageMargins left="0.7" right="0.7" top="0.75" bottom="0.75" header="0.3" footer="0.3"/>
  <ignoredErrors>
    <ignoredError sqref="H39 I52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3:L27"/>
  <sheetViews>
    <sheetView topLeftCell="A10" workbookViewId="0">
      <selection activeCell="H26" sqref="H26"/>
    </sheetView>
  </sheetViews>
  <sheetFormatPr defaultRowHeight="15" x14ac:dyDescent="0.25"/>
  <cols>
    <col min="2" max="2" width="5.5703125" customWidth="1"/>
    <col min="3" max="3" width="26" style="4" customWidth="1"/>
    <col min="4" max="4" width="5.28515625" style="3" customWidth="1"/>
    <col min="5" max="5" width="11.42578125" customWidth="1"/>
    <col min="6" max="6" width="11.7109375" style="3" customWidth="1"/>
    <col min="7" max="7" width="14.42578125" customWidth="1"/>
    <col min="8" max="8" width="16.140625" style="4" customWidth="1"/>
    <col min="9" max="9" width="13.5703125" customWidth="1"/>
    <col min="11" max="11" width="17" customWidth="1"/>
  </cols>
  <sheetData>
    <row r="3" spans="2:12" ht="15" customHeight="1" x14ac:dyDescent="0.25">
      <c r="C3" s="189" t="s">
        <v>153</v>
      </c>
      <c r="D3" s="189"/>
      <c r="E3" s="189"/>
      <c r="F3" s="189"/>
      <c r="G3" s="189"/>
      <c r="H3" s="189"/>
    </row>
    <row r="4" spans="2:12" ht="15" customHeight="1" x14ac:dyDescent="0.25">
      <c r="C4" s="189"/>
      <c r="D4" s="189"/>
      <c r="E4" s="189"/>
      <c r="F4" s="189"/>
      <c r="G4" s="189"/>
      <c r="H4" s="189"/>
    </row>
    <row r="5" spans="2:12" ht="27.75" customHeight="1" x14ac:dyDescent="0.25">
      <c r="B5" s="18" t="s">
        <v>35</v>
      </c>
      <c r="C5" s="18" t="s">
        <v>36</v>
      </c>
      <c r="D5" s="18" t="s">
        <v>37</v>
      </c>
      <c r="E5" s="18" t="s">
        <v>38</v>
      </c>
      <c r="F5" s="19" t="s">
        <v>60</v>
      </c>
      <c r="G5" s="19" t="s">
        <v>233</v>
      </c>
      <c r="H5" s="106" t="s">
        <v>192</v>
      </c>
      <c r="I5" s="106" t="s">
        <v>6</v>
      </c>
    </row>
    <row r="6" spans="2:12" ht="23.25" customHeight="1" x14ac:dyDescent="0.25">
      <c r="B6" s="16">
        <v>1</v>
      </c>
      <c r="C6" s="17" t="s">
        <v>151</v>
      </c>
      <c r="D6" s="16">
        <v>1</v>
      </c>
      <c r="E6" s="22">
        <v>25000</v>
      </c>
      <c r="F6" s="16">
        <v>55</v>
      </c>
      <c r="G6" s="23">
        <f t="shared" ref="G6:G10" si="0">D6*E6*F6</f>
        <v>1375000</v>
      </c>
      <c r="H6" s="4">
        <v>0</v>
      </c>
      <c r="I6" t="s">
        <v>205</v>
      </c>
    </row>
    <row r="7" spans="2:12" ht="23.25" customHeight="1" x14ac:dyDescent="0.25">
      <c r="B7" s="16">
        <v>2</v>
      </c>
      <c r="C7" s="17" t="s">
        <v>152</v>
      </c>
      <c r="D7" s="16">
        <v>1</v>
      </c>
      <c r="E7" s="22">
        <v>15000</v>
      </c>
      <c r="F7" s="16">
        <v>55</v>
      </c>
      <c r="G7" s="23">
        <f t="shared" si="0"/>
        <v>825000</v>
      </c>
      <c r="H7" s="4">
        <v>0</v>
      </c>
      <c r="I7" t="s">
        <v>205</v>
      </c>
    </row>
    <row r="8" spans="2:12" ht="23.25" customHeight="1" x14ac:dyDescent="0.25">
      <c r="B8" s="16">
        <v>3</v>
      </c>
      <c r="C8" s="17" t="s">
        <v>211</v>
      </c>
      <c r="D8" s="16">
        <v>1</v>
      </c>
      <c r="E8" s="22">
        <v>15000</v>
      </c>
      <c r="F8" s="16">
        <v>55</v>
      </c>
      <c r="G8" s="23">
        <f t="shared" si="0"/>
        <v>825000</v>
      </c>
      <c r="H8" s="4">
        <v>0</v>
      </c>
      <c r="I8" s="139" t="s">
        <v>208</v>
      </c>
    </row>
    <row r="9" spans="2:12" ht="23.25" customHeight="1" x14ac:dyDescent="0.25">
      <c r="B9" s="16">
        <v>4</v>
      </c>
      <c r="C9" s="17" t="s">
        <v>148</v>
      </c>
      <c r="D9" s="16">
        <v>1</v>
      </c>
      <c r="E9" s="22">
        <v>15000</v>
      </c>
      <c r="F9" s="16">
        <v>40</v>
      </c>
      <c r="G9" s="23">
        <f t="shared" si="0"/>
        <v>600000</v>
      </c>
      <c r="H9" s="102">
        <f>7500*75</f>
        <v>562500</v>
      </c>
      <c r="I9" s="139" t="s">
        <v>208</v>
      </c>
    </row>
    <row r="10" spans="2:12" ht="23.25" customHeight="1" x14ac:dyDescent="0.25">
      <c r="B10" s="16">
        <v>5</v>
      </c>
      <c r="C10" s="17" t="s">
        <v>23</v>
      </c>
      <c r="D10" s="16">
        <v>1</v>
      </c>
      <c r="E10" s="22">
        <v>15000</v>
      </c>
      <c r="F10" s="16">
        <v>55</v>
      </c>
      <c r="G10" s="192">
        <f t="shared" si="0"/>
        <v>825000</v>
      </c>
      <c r="H10" s="102">
        <f>7500*60</f>
        <v>450000</v>
      </c>
      <c r="I10" s="139" t="s">
        <v>208</v>
      </c>
    </row>
    <row r="11" spans="2:12" ht="23.25" customHeight="1" x14ac:dyDescent="0.25">
      <c r="B11" s="16">
        <v>6</v>
      </c>
      <c r="C11" s="7" t="s">
        <v>24</v>
      </c>
      <c r="D11" s="6">
        <v>600</v>
      </c>
      <c r="E11" s="22">
        <f>5000*4</f>
        <v>20000</v>
      </c>
      <c r="F11" s="6" t="s">
        <v>207</v>
      </c>
      <c r="G11" s="23">
        <f>D11*E11</f>
        <v>12000000</v>
      </c>
      <c r="H11" s="102">
        <v>12000000</v>
      </c>
      <c r="I11" s="139" t="s">
        <v>206</v>
      </c>
      <c r="K11" s="89"/>
    </row>
    <row r="12" spans="2:12" ht="23.25" customHeight="1" x14ac:dyDescent="0.25">
      <c r="B12" s="16">
        <v>7</v>
      </c>
      <c r="C12" s="7" t="s">
        <v>25</v>
      </c>
      <c r="D12" s="6">
        <v>600</v>
      </c>
      <c r="E12" s="22">
        <f>5000*4</f>
        <v>20000</v>
      </c>
      <c r="F12" s="6" t="s">
        <v>207</v>
      </c>
      <c r="G12" s="23">
        <f>D12*E12</f>
        <v>12000000</v>
      </c>
      <c r="H12" s="102">
        <v>12000000</v>
      </c>
      <c r="I12" s="139" t="s">
        <v>206</v>
      </c>
    </row>
    <row r="13" spans="2:12" ht="23.25" customHeight="1" x14ac:dyDescent="0.25">
      <c r="B13" s="16">
        <v>8</v>
      </c>
      <c r="C13" s="7" t="s">
        <v>26</v>
      </c>
      <c r="D13" s="6">
        <v>4</v>
      </c>
      <c r="E13" s="22">
        <v>13000</v>
      </c>
      <c r="F13" s="6">
        <v>40</v>
      </c>
      <c r="G13" s="23">
        <f>D13*E13*F13</f>
        <v>2080000</v>
      </c>
      <c r="H13" s="102">
        <f>7500*75</f>
        <v>562500</v>
      </c>
      <c r="I13" s="139" t="s">
        <v>208</v>
      </c>
    </row>
    <row r="14" spans="2:12" ht="23.25" customHeight="1" x14ac:dyDescent="0.25">
      <c r="B14" s="16">
        <v>9</v>
      </c>
      <c r="C14" s="7" t="s">
        <v>27</v>
      </c>
      <c r="D14" s="6">
        <v>4</v>
      </c>
      <c r="E14" s="22">
        <v>13000</v>
      </c>
      <c r="F14" s="6">
        <v>40</v>
      </c>
      <c r="G14" s="23">
        <f>D14*E14*F14</f>
        <v>2080000</v>
      </c>
      <c r="H14" s="102">
        <f>7000*40</f>
        <v>280000</v>
      </c>
      <c r="I14" s="139" t="s">
        <v>209</v>
      </c>
    </row>
    <row r="15" spans="2:12" ht="23.25" customHeight="1" x14ac:dyDescent="0.25">
      <c r="B15" s="16">
        <v>10</v>
      </c>
      <c r="C15" s="7" t="s">
        <v>193</v>
      </c>
      <c r="D15" s="6">
        <v>4</v>
      </c>
      <c r="E15" s="22">
        <v>40000</v>
      </c>
      <c r="F15" s="6">
        <v>20</v>
      </c>
      <c r="G15" s="96">
        <f>D15*E15*F15</f>
        <v>3200000</v>
      </c>
      <c r="H15" s="156">
        <f>D15*10000*F15</f>
        <v>800000</v>
      </c>
      <c r="K15" s="89"/>
    </row>
    <row r="16" spans="2:12" ht="23.25" customHeight="1" x14ac:dyDescent="0.25">
      <c r="B16" s="16">
        <v>11</v>
      </c>
      <c r="C16" s="7" t="s">
        <v>150</v>
      </c>
      <c r="D16" s="6">
        <v>1</v>
      </c>
      <c r="E16" s="22">
        <v>15000</v>
      </c>
      <c r="F16" s="6">
        <v>40</v>
      </c>
      <c r="G16" s="23">
        <f>D16*E16*F16</f>
        <v>600000</v>
      </c>
      <c r="H16" s="156">
        <f>7500*40</f>
        <v>300000</v>
      </c>
      <c r="L16">
        <f>(140000/5)/31</f>
        <v>903.22580645161293</v>
      </c>
    </row>
    <row r="17" spans="2:8" ht="23.25" hidden="1" customHeight="1" x14ac:dyDescent="0.25">
      <c r="B17" s="6">
        <v>13</v>
      </c>
      <c r="C17" s="7" t="s">
        <v>28</v>
      </c>
      <c r="D17" s="6">
        <v>2</v>
      </c>
      <c r="E17" s="22"/>
      <c r="F17" s="6"/>
      <c r="G17" s="23">
        <f t="shared" ref="G17:G25" si="1">D17*E17*F17</f>
        <v>0</v>
      </c>
    </row>
    <row r="18" spans="2:8" ht="23.25" hidden="1" customHeight="1" x14ac:dyDescent="0.25">
      <c r="B18" s="6">
        <v>14</v>
      </c>
      <c r="C18" s="7" t="s">
        <v>29</v>
      </c>
      <c r="D18" s="6">
        <v>2</v>
      </c>
      <c r="E18" s="22"/>
      <c r="F18" s="6"/>
      <c r="G18" s="23">
        <f t="shared" si="1"/>
        <v>0</v>
      </c>
    </row>
    <row r="19" spans="2:8" ht="30" hidden="1" customHeight="1" x14ac:dyDescent="0.25">
      <c r="B19" s="6">
        <v>15</v>
      </c>
      <c r="C19" s="8" t="s">
        <v>59</v>
      </c>
      <c r="D19" s="6">
        <v>3</v>
      </c>
      <c r="E19" s="22"/>
      <c r="F19" s="6"/>
      <c r="G19" s="23">
        <f t="shared" si="1"/>
        <v>0</v>
      </c>
    </row>
    <row r="20" spans="2:8" ht="23.25" hidden="1" customHeight="1" x14ac:dyDescent="0.25">
      <c r="B20" s="144">
        <v>16</v>
      </c>
      <c r="C20" s="145" t="s">
        <v>30</v>
      </c>
      <c r="D20" s="144">
        <v>4</v>
      </c>
      <c r="E20" s="146"/>
      <c r="F20" s="144"/>
      <c r="G20" s="147">
        <f t="shared" si="1"/>
        <v>0</v>
      </c>
    </row>
    <row r="21" spans="2:8" ht="28.5" customHeight="1" x14ac:dyDescent="0.25">
      <c r="B21" s="6">
        <v>12</v>
      </c>
      <c r="C21" s="160" t="s">
        <v>221</v>
      </c>
      <c r="D21" s="6">
        <v>10</v>
      </c>
      <c r="E21" s="22">
        <v>5000</v>
      </c>
      <c r="F21" s="6">
        <v>50</v>
      </c>
      <c r="G21" s="23">
        <f t="shared" si="1"/>
        <v>2500000</v>
      </c>
      <c r="H21" s="156">
        <f>D21*40*E21</f>
        <v>2000000</v>
      </c>
    </row>
    <row r="22" spans="2:8" ht="23.25" customHeight="1" x14ac:dyDescent="0.25">
      <c r="B22" s="6">
        <v>13</v>
      </c>
      <c r="C22" s="161" t="s">
        <v>215</v>
      </c>
      <c r="D22" s="6">
        <v>10</v>
      </c>
      <c r="E22" s="22">
        <v>5000</v>
      </c>
      <c r="F22" s="6">
        <v>50</v>
      </c>
      <c r="G22" s="96">
        <f t="shared" si="1"/>
        <v>2500000</v>
      </c>
      <c r="H22" s="156">
        <f>D22*40*E22</f>
        <v>2000000</v>
      </c>
    </row>
    <row r="23" spans="2:8" ht="23.25" customHeight="1" x14ac:dyDescent="0.25">
      <c r="B23" s="6">
        <v>13</v>
      </c>
      <c r="C23" s="160" t="s">
        <v>223</v>
      </c>
      <c r="D23" s="6">
        <v>3</v>
      </c>
      <c r="E23" s="22">
        <v>10000</v>
      </c>
      <c r="F23" s="6">
        <v>50</v>
      </c>
      <c r="G23" s="23">
        <f t="shared" si="1"/>
        <v>1500000</v>
      </c>
      <c r="H23" s="156">
        <f>D23*F23*E23</f>
        <v>1500000</v>
      </c>
    </row>
    <row r="24" spans="2:8" ht="23.25" customHeight="1" x14ac:dyDescent="0.25">
      <c r="B24" s="6">
        <v>14</v>
      </c>
      <c r="C24" s="160" t="s">
        <v>219</v>
      </c>
      <c r="D24" s="6">
        <v>5</v>
      </c>
      <c r="E24" s="22">
        <v>5000</v>
      </c>
      <c r="F24" s="6">
        <v>50</v>
      </c>
      <c r="G24" s="23">
        <f t="shared" si="1"/>
        <v>1250000</v>
      </c>
      <c r="H24" s="156">
        <f t="shared" ref="H24:H25" si="2">D24*E24*F24</f>
        <v>1250000</v>
      </c>
    </row>
    <row r="25" spans="2:8" ht="23.25" customHeight="1" x14ac:dyDescent="0.25">
      <c r="B25" s="6">
        <v>15</v>
      </c>
      <c r="C25" s="162" t="s">
        <v>222</v>
      </c>
      <c r="D25" s="6">
        <v>5</v>
      </c>
      <c r="E25" s="22">
        <v>5000</v>
      </c>
      <c r="F25" s="6">
        <v>50</v>
      </c>
      <c r="G25" s="23">
        <f t="shared" si="1"/>
        <v>1250000</v>
      </c>
      <c r="H25" s="156">
        <f t="shared" si="2"/>
        <v>1250000</v>
      </c>
    </row>
    <row r="26" spans="2:8" ht="23.25" customHeight="1" x14ac:dyDescent="0.25">
      <c r="B26" s="204">
        <v>16</v>
      </c>
      <c r="C26" s="205" t="s">
        <v>240</v>
      </c>
      <c r="D26" s="204"/>
      <c r="E26" s="206"/>
      <c r="F26" s="204"/>
      <c r="G26" s="207"/>
      <c r="H26" s="208"/>
    </row>
    <row r="27" spans="2:8" x14ac:dyDescent="0.25">
      <c r="G27" s="25">
        <f>SUM(G6:G20)</f>
        <v>36410000</v>
      </c>
      <c r="H27" s="107">
        <f>SUM(H6:H26)</f>
        <v>34955000</v>
      </c>
    </row>
  </sheetData>
  <mergeCells count="1">
    <mergeCell ref="C3:H4"/>
  </mergeCell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19"/>
  <sheetViews>
    <sheetView topLeftCell="B6" workbookViewId="0">
      <selection activeCell="L19" sqref="L19"/>
    </sheetView>
  </sheetViews>
  <sheetFormatPr defaultRowHeight="15" x14ac:dyDescent="0.25"/>
  <cols>
    <col min="3" max="3" width="5.85546875" style="3" customWidth="1"/>
    <col min="4" max="4" width="42.7109375" customWidth="1"/>
    <col min="5" max="5" width="6" style="3" customWidth="1"/>
    <col min="6" max="6" width="6.85546875" style="3" customWidth="1"/>
    <col min="7" max="7" width="12.140625" style="3" customWidth="1"/>
    <col min="8" max="8" width="14" style="3" customWidth="1"/>
    <col min="9" max="9" width="11.85546875" style="123" hidden="1" customWidth="1"/>
    <col min="10" max="10" width="12.28515625" hidden="1" customWidth="1"/>
    <col min="11" max="11" width="12.42578125" customWidth="1"/>
    <col min="12" max="12" width="12" customWidth="1"/>
  </cols>
  <sheetData>
    <row r="1" spans="1:10" x14ac:dyDescent="0.25">
      <c r="A1" t="s">
        <v>48</v>
      </c>
    </row>
    <row r="6" spans="1:10" s="4" customFormat="1" ht="42" customHeight="1" x14ac:dyDescent="0.25">
      <c r="C6" s="20" t="s">
        <v>52</v>
      </c>
      <c r="D6" s="20" t="s">
        <v>53</v>
      </c>
      <c r="E6" s="20" t="s">
        <v>54</v>
      </c>
      <c r="F6" s="21" t="s">
        <v>56</v>
      </c>
      <c r="G6" s="21" t="s">
        <v>55</v>
      </c>
      <c r="H6" s="21" t="s">
        <v>57</v>
      </c>
      <c r="I6" s="21" t="s">
        <v>202</v>
      </c>
      <c r="J6" s="120" t="s">
        <v>194</v>
      </c>
    </row>
    <row r="7" spans="1:10" s="4" customFormat="1" ht="24.75" customHeight="1" x14ac:dyDescent="0.25">
      <c r="C7" s="16">
        <v>1</v>
      </c>
      <c r="D7" s="17" t="s">
        <v>190</v>
      </c>
      <c r="E7" s="16">
        <v>1</v>
      </c>
      <c r="F7" s="16">
        <v>50</v>
      </c>
      <c r="G7" s="121">
        <v>320000</v>
      </c>
      <c r="H7" s="122">
        <f>E7*G7*F7</f>
        <v>16000000</v>
      </c>
      <c r="I7" s="123">
        <v>0</v>
      </c>
      <c r="J7" s="124">
        <f>H7</f>
        <v>16000000</v>
      </c>
    </row>
    <row r="8" spans="1:10" s="4" customFormat="1" ht="24.75" customHeight="1" x14ac:dyDescent="0.25">
      <c r="C8" s="16">
        <v>2</v>
      </c>
      <c r="D8" s="17" t="s">
        <v>122</v>
      </c>
      <c r="E8" s="16">
        <v>1</v>
      </c>
      <c r="F8" s="16">
        <v>30</v>
      </c>
      <c r="G8" s="16" t="s">
        <v>49</v>
      </c>
      <c r="H8" s="122" t="s">
        <v>203</v>
      </c>
      <c r="I8" s="125">
        <v>0</v>
      </c>
      <c r="J8" s="124">
        <v>500000</v>
      </c>
    </row>
    <row r="9" spans="1:10" s="4" customFormat="1" ht="24.75" customHeight="1" x14ac:dyDescent="0.25">
      <c r="C9" s="16">
        <v>3</v>
      </c>
      <c r="D9" s="17" t="s">
        <v>58</v>
      </c>
      <c r="E9" s="16">
        <v>1</v>
      </c>
      <c r="F9" s="16">
        <v>30</v>
      </c>
      <c r="G9" s="16" t="s">
        <v>49</v>
      </c>
      <c r="H9" s="122">
        <v>1500000</v>
      </c>
      <c r="I9" s="125">
        <v>0</v>
      </c>
      <c r="J9" s="124">
        <f t="shared" ref="J9:J12" si="0">H9</f>
        <v>1500000</v>
      </c>
    </row>
    <row r="10" spans="1:10" s="4" customFormat="1" ht="24.75" customHeight="1" x14ac:dyDescent="0.25">
      <c r="C10" s="16">
        <v>4</v>
      </c>
      <c r="D10" s="17" t="s">
        <v>147</v>
      </c>
      <c r="E10" s="126" t="s">
        <v>22</v>
      </c>
      <c r="F10" s="126" t="s">
        <v>22</v>
      </c>
      <c r="G10" s="126" t="s">
        <v>22</v>
      </c>
      <c r="H10" s="122">
        <v>0</v>
      </c>
      <c r="I10" s="123">
        <v>0</v>
      </c>
      <c r="J10" s="124">
        <f t="shared" si="0"/>
        <v>0</v>
      </c>
    </row>
    <row r="11" spans="1:10" s="4" customFormat="1" ht="24.75" customHeight="1" x14ac:dyDescent="0.25">
      <c r="C11" s="16">
        <v>5</v>
      </c>
      <c r="D11" s="17" t="s">
        <v>50</v>
      </c>
      <c r="E11" s="126" t="s">
        <v>22</v>
      </c>
      <c r="F11" s="126" t="s">
        <v>22</v>
      </c>
      <c r="G11" s="126" t="s">
        <v>22</v>
      </c>
      <c r="H11" s="122">
        <v>300000</v>
      </c>
      <c r="I11" s="122">
        <v>150000</v>
      </c>
      <c r="J11" s="124"/>
    </row>
    <row r="12" spans="1:10" s="4" customFormat="1" ht="24.75" customHeight="1" x14ac:dyDescent="0.25">
      <c r="C12" s="16">
        <v>6</v>
      </c>
      <c r="D12" s="148" t="s">
        <v>220</v>
      </c>
      <c r="E12" s="16">
        <v>1</v>
      </c>
      <c r="F12" s="16">
        <v>31</v>
      </c>
      <c r="G12" s="121">
        <v>150000</v>
      </c>
      <c r="H12" s="122">
        <f>E12*G12*F12</f>
        <v>4650000</v>
      </c>
      <c r="I12" s="123">
        <v>0</v>
      </c>
      <c r="J12" s="124">
        <f t="shared" si="0"/>
        <v>4650000</v>
      </c>
    </row>
    <row r="13" spans="1:10" s="4" customFormat="1" ht="24.75" customHeight="1" x14ac:dyDescent="0.25">
      <c r="C13" s="16">
        <v>7</v>
      </c>
      <c r="D13" s="17" t="s">
        <v>201</v>
      </c>
      <c r="E13" s="16">
        <v>5</v>
      </c>
      <c r="F13" s="126" t="s">
        <v>203</v>
      </c>
      <c r="G13" s="121">
        <v>20000</v>
      </c>
      <c r="H13" s="33">
        <v>240000</v>
      </c>
      <c r="I13" s="157">
        <v>100000</v>
      </c>
      <c r="J13" s="124"/>
    </row>
    <row r="14" spans="1:10" s="4" customFormat="1" ht="24.75" customHeight="1" x14ac:dyDescent="0.25">
      <c r="C14" s="16">
        <v>8</v>
      </c>
      <c r="D14" s="17" t="s">
        <v>51</v>
      </c>
      <c r="E14" s="126" t="s">
        <v>22</v>
      </c>
      <c r="F14" s="126" t="s">
        <v>22</v>
      </c>
      <c r="G14" s="126" t="s">
        <v>22</v>
      </c>
      <c r="H14" s="127">
        <v>35000000</v>
      </c>
      <c r="I14" s="123">
        <v>0</v>
      </c>
      <c r="J14" s="124">
        <f>H14</f>
        <v>35000000</v>
      </c>
    </row>
    <row r="15" spans="1:10" s="4" customFormat="1" ht="24.75" customHeight="1" x14ac:dyDescent="0.25">
      <c r="C15" s="16">
        <v>9</v>
      </c>
      <c r="D15" s="148" t="s">
        <v>214</v>
      </c>
      <c r="E15" s="16">
        <v>1</v>
      </c>
      <c r="F15" s="16">
        <v>31</v>
      </c>
      <c r="G15" s="128">
        <v>150000</v>
      </c>
      <c r="H15" s="33">
        <f>E15*F15*G15</f>
        <v>4650000</v>
      </c>
      <c r="I15" s="129"/>
      <c r="J15" s="126"/>
    </row>
    <row r="16" spans="1:10" s="4" customFormat="1" ht="24.75" customHeight="1" x14ac:dyDescent="0.25">
      <c r="C16" s="16">
        <v>10</v>
      </c>
      <c r="D16" s="32" t="s">
        <v>213</v>
      </c>
      <c r="E16" s="126" t="s">
        <v>22</v>
      </c>
      <c r="F16" s="126" t="s">
        <v>22</v>
      </c>
      <c r="G16" s="126" t="s">
        <v>22</v>
      </c>
      <c r="H16" s="33">
        <v>5000000</v>
      </c>
      <c r="I16" s="123"/>
      <c r="J16" s="124">
        <f>H16</f>
        <v>5000000</v>
      </c>
    </row>
    <row r="17" spans="3:10" s="4" customFormat="1" ht="24.75" customHeight="1" x14ac:dyDescent="0.25">
      <c r="C17" s="16">
        <v>11</v>
      </c>
      <c r="D17" s="148"/>
      <c r="E17" s="126">
        <v>1</v>
      </c>
      <c r="F17" s="126">
        <v>31</v>
      </c>
      <c r="G17" s="126">
        <v>1</v>
      </c>
      <c r="H17" s="33">
        <v>300000</v>
      </c>
      <c r="I17" s="123"/>
      <c r="J17" s="130">
        <v>300000</v>
      </c>
    </row>
    <row r="18" spans="3:10" x14ac:dyDescent="0.25">
      <c r="C18" s="2"/>
      <c r="D18" s="1"/>
      <c r="E18" s="2"/>
      <c r="F18" s="2"/>
      <c r="G18" s="2"/>
      <c r="H18" s="2"/>
      <c r="J18" s="108"/>
    </row>
    <row r="19" spans="3:10" ht="15.75" x14ac:dyDescent="0.25">
      <c r="C19" s="2"/>
      <c r="D19" s="9"/>
      <c r="E19" s="2"/>
      <c r="F19" s="2"/>
      <c r="G19" s="2"/>
      <c r="H19" s="49">
        <f>SUM(H7:H18)</f>
        <v>67640000</v>
      </c>
      <c r="I19" s="142">
        <f>SUM(I7:I18)</f>
        <v>250000</v>
      </c>
      <c r="J19" s="109">
        <f>SUM(J7:J18)</f>
        <v>62950000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4:K31"/>
  <sheetViews>
    <sheetView topLeftCell="A4" workbookViewId="0">
      <selection activeCell="F23" sqref="F23"/>
    </sheetView>
  </sheetViews>
  <sheetFormatPr defaultRowHeight="15" x14ac:dyDescent="0.25"/>
  <cols>
    <col min="3" max="3" width="6.85546875" style="3" customWidth="1"/>
    <col min="4" max="4" width="24.42578125" customWidth="1"/>
    <col min="5" max="5" width="6.5703125" style="3" customWidth="1"/>
    <col min="6" max="6" width="7" style="3" customWidth="1"/>
    <col min="7" max="7" width="12.7109375" customWidth="1"/>
    <col min="8" max="8" width="15.42578125" customWidth="1"/>
    <col min="9" max="9" width="12.140625" customWidth="1"/>
    <col min="10" max="10" width="14.28515625" bestFit="1" customWidth="1"/>
    <col min="11" max="11" width="13.28515625" bestFit="1" customWidth="1"/>
  </cols>
  <sheetData>
    <row r="4" spans="3:11" ht="15.75" thickBot="1" x14ac:dyDescent="0.3"/>
    <row r="5" spans="3:11" ht="31.5" x14ac:dyDescent="0.25">
      <c r="C5" s="20" t="s">
        <v>52</v>
      </c>
      <c r="D5" s="20" t="s">
        <v>53</v>
      </c>
      <c r="E5" s="20" t="s">
        <v>54</v>
      </c>
      <c r="F5" s="67" t="s">
        <v>145</v>
      </c>
      <c r="G5" s="73" t="s">
        <v>144</v>
      </c>
      <c r="H5" s="71" t="s">
        <v>146</v>
      </c>
      <c r="I5" s="69" t="s">
        <v>143</v>
      </c>
      <c r="J5" s="69" t="s">
        <v>192</v>
      </c>
      <c r="K5" s="154"/>
    </row>
    <row r="6" spans="3:11" x14ac:dyDescent="0.25">
      <c r="C6" s="14">
        <v>1</v>
      </c>
      <c r="D6" s="15" t="s">
        <v>127</v>
      </c>
      <c r="E6" s="14">
        <v>1</v>
      </c>
      <c r="F6" s="68">
        <v>50</v>
      </c>
      <c r="G6" s="74">
        <v>10000</v>
      </c>
      <c r="H6" s="72">
        <v>15000</v>
      </c>
      <c r="I6" s="70">
        <f>E6*F6*(G6+H6)</f>
        <v>1250000</v>
      </c>
      <c r="J6" s="9">
        <f>(7500+10000)*55</f>
        <v>962500</v>
      </c>
      <c r="K6" s="154"/>
    </row>
    <row r="7" spans="3:11" x14ac:dyDescent="0.25">
      <c r="C7" s="14">
        <v>2</v>
      </c>
      <c r="D7" s="15" t="s">
        <v>217</v>
      </c>
      <c r="E7" s="14">
        <v>1</v>
      </c>
      <c r="F7" s="68">
        <v>50</v>
      </c>
      <c r="G7" s="74">
        <v>10000</v>
      </c>
      <c r="H7" s="72">
        <v>15000</v>
      </c>
      <c r="I7" s="70">
        <f t="shared" ref="I7:I25" si="0">E7*F7*(G7+H7)</f>
        <v>1250000</v>
      </c>
      <c r="J7" s="9">
        <f>(7500+10000)*55</f>
        <v>962500</v>
      </c>
      <c r="K7" s="154"/>
    </row>
    <row r="8" spans="3:11" x14ac:dyDescent="0.25">
      <c r="C8" s="14">
        <v>3</v>
      </c>
      <c r="D8" s="15" t="s">
        <v>218</v>
      </c>
      <c r="E8" s="14">
        <v>3</v>
      </c>
      <c r="F8" s="68">
        <v>50</v>
      </c>
      <c r="G8" s="74">
        <v>5000</v>
      </c>
      <c r="H8" s="72">
        <v>0</v>
      </c>
      <c r="I8" s="70">
        <f t="shared" si="0"/>
        <v>750000</v>
      </c>
      <c r="J8" s="9">
        <f>E8*F8*G8</f>
        <v>750000</v>
      </c>
      <c r="K8" s="154"/>
    </row>
    <row r="9" spans="3:11" x14ac:dyDescent="0.25">
      <c r="C9" s="14">
        <v>4</v>
      </c>
      <c r="D9" s="15" t="s">
        <v>237</v>
      </c>
      <c r="E9" s="14">
        <v>1</v>
      </c>
      <c r="F9" s="68">
        <v>31</v>
      </c>
      <c r="G9" s="74">
        <v>5000</v>
      </c>
      <c r="H9" s="72">
        <v>10000</v>
      </c>
      <c r="I9" s="70">
        <f t="shared" si="0"/>
        <v>465000</v>
      </c>
      <c r="J9" s="9">
        <f t="shared" ref="J9:J22" si="1">(8000+G9)*F9*E9</f>
        <v>403000</v>
      </c>
      <c r="K9" s="154"/>
    </row>
    <row r="10" spans="3:11" x14ac:dyDescent="0.25">
      <c r="C10" s="14">
        <v>5</v>
      </c>
      <c r="D10" s="15" t="s">
        <v>128</v>
      </c>
      <c r="E10" s="14">
        <v>1</v>
      </c>
      <c r="F10" s="68">
        <v>50</v>
      </c>
      <c r="G10" s="74">
        <v>5000</v>
      </c>
      <c r="H10" s="72">
        <v>10000</v>
      </c>
      <c r="I10" s="70">
        <f t="shared" si="0"/>
        <v>750000</v>
      </c>
      <c r="J10" s="9">
        <f>(8000+5000)*F10</f>
        <v>650000</v>
      </c>
      <c r="K10" s="154" t="s">
        <v>238</v>
      </c>
    </row>
    <row r="11" spans="3:11" x14ac:dyDescent="0.25">
      <c r="C11" s="14">
        <v>6</v>
      </c>
      <c r="D11" s="1" t="s">
        <v>129</v>
      </c>
      <c r="E11" s="2">
        <v>2</v>
      </c>
      <c r="F11" s="68">
        <v>40</v>
      </c>
      <c r="G11" s="74">
        <v>5000</v>
      </c>
      <c r="H11" s="72">
        <v>10000</v>
      </c>
      <c r="I11" s="70">
        <f t="shared" si="0"/>
        <v>1200000</v>
      </c>
      <c r="J11" s="9">
        <f t="shared" ref="J11:J22" si="2">(8000+5000)*F11</f>
        <v>520000</v>
      </c>
      <c r="K11" s="154"/>
    </row>
    <row r="12" spans="3:11" x14ac:dyDescent="0.25">
      <c r="C12" s="14">
        <v>7</v>
      </c>
      <c r="D12" s="1" t="s">
        <v>130</v>
      </c>
      <c r="E12" s="2">
        <v>1</v>
      </c>
      <c r="F12" s="68">
        <v>40</v>
      </c>
      <c r="G12" s="74">
        <v>5000</v>
      </c>
      <c r="H12" s="72">
        <v>10000</v>
      </c>
      <c r="I12" s="70">
        <f t="shared" si="0"/>
        <v>600000</v>
      </c>
      <c r="J12" s="9">
        <f t="shared" si="2"/>
        <v>520000</v>
      </c>
      <c r="K12" s="154"/>
    </row>
    <row r="13" spans="3:11" x14ac:dyDescent="0.25">
      <c r="C13" s="14">
        <v>8</v>
      </c>
      <c r="D13" s="1" t="s">
        <v>131</v>
      </c>
      <c r="E13" s="2">
        <v>1</v>
      </c>
      <c r="F13" s="68">
        <v>50</v>
      </c>
      <c r="G13" s="74">
        <v>5000</v>
      </c>
      <c r="H13" s="72">
        <v>10000</v>
      </c>
      <c r="I13" s="70">
        <f t="shared" si="0"/>
        <v>750000</v>
      </c>
      <c r="J13" s="9">
        <f t="shared" si="2"/>
        <v>650000</v>
      </c>
      <c r="K13" s="154"/>
    </row>
    <row r="14" spans="3:11" x14ac:dyDescent="0.25">
      <c r="C14" s="14">
        <v>9</v>
      </c>
      <c r="D14" s="1" t="s">
        <v>132</v>
      </c>
      <c r="E14" s="2">
        <v>1</v>
      </c>
      <c r="F14" s="68">
        <v>50</v>
      </c>
      <c r="G14" s="74">
        <v>5000</v>
      </c>
      <c r="H14" s="72">
        <v>10000</v>
      </c>
      <c r="I14" s="70">
        <f t="shared" si="0"/>
        <v>750000</v>
      </c>
      <c r="J14" s="9">
        <f t="shared" si="2"/>
        <v>650000</v>
      </c>
      <c r="K14" s="154"/>
    </row>
    <row r="15" spans="3:11" x14ac:dyDescent="0.25">
      <c r="C15" s="14">
        <v>10</v>
      </c>
      <c r="D15" s="1" t="s">
        <v>133</v>
      </c>
      <c r="E15" s="2">
        <v>2</v>
      </c>
      <c r="F15" s="68">
        <v>31</v>
      </c>
      <c r="G15" s="74">
        <v>5000</v>
      </c>
      <c r="H15" s="72">
        <v>10000</v>
      </c>
      <c r="I15" s="70">
        <f t="shared" si="0"/>
        <v>930000</v>
      </c>
      <c r="J15" s="9">
        <f t="shared" si="2"/>
        <v>403000</v>
      </c>
      <c r="K15" s="154"/>
    </row>
    <row r="16" spans="3:11" x14ac:dyDescent="0.25">
      <c r="C16" s="14">
        <v>11</v>
      </c>
      <c r="D16" s="1" t="s">
        <v>134</v>
      </c>
      <c r="E16" s="2">
        <v>2</v>
      </c>
      <c r="F16" s="68">
        <v>31</v>
      </c>
      <c r="G16" s="74">
        <v>5000</v>
      </c>
      <c r="H16" s="72">
        <v>10000</v>
      </c>
      <c r="I16" s="70">
        <f t="shared" si="0"/>
        <v>930000</v>
      </c>
      <c r="J16" s="9">
        <f t="shared" si="2"/>
        <v>403000</v>
      </c>
      <c r="K16" s="154"/>
    </row>
    <row r="17" spans="3:11" x14ac:dyDescent="0.25">
      <c r="C17" s="14">
        <v>12</v>
      </c>
      <c r="D17" s="1" t="s">
        <v>135</v>
      </c>
      <c r="E17" s="2">
        <v>5</v>
      </c>
      <c r="F17" s="68">
        <v>31</v>
      </c>
      <c r="G17" s="132">
        <v>5000</v>
      </c>
      <c r="H17" s="72">
        <v>10000</v>
      </c>
      <c r="I17" s="70">
        <f t="shared" si="0"/>
        <v>2325000</v>
      </c>
      <c r="J17" s="9">
        <f t="shared" si="2"/>
        <v>403000</v>
      </c>
      <c r="K17" s="154"/>
    </row>
    <row r="18" spans="3:11" x14ac:dyDescent="0.25">
      <c r="C18" s="14">
        <v>13</v>
      </c>
      <c r="D18" s="1" t="s">
        <v>136</v>
      </c>
      <c r="E18" s="2">
        <v>1</v>
      </c>
      <c r="F18" s="68">
        <v>55</v>
      </c>
      <c r="G18" s="74">
        <v>5000</v>
      </c>
      <c r="H18" s="72">
        <v>10000</v>
      </c>
      <c r="I18" s="70">
        <f t="shared" si="0"/>
        <v>825000</v>
      </c>
      <c r="J18" s="9">
        <f t="shared" si="2"/>
        <v>715000</v>
      </c>
      <c r="K18" s="154"/>
    </row>
    <row r="19" spans="3:11" x14ac:dyDescent="0.25">
      <c r="C19" s="14">
        <v>14</v>
      </c>
      <c r="D19" s="1" t="s">
        <v>137</v>
      </c>
      <c r="E19" s="2">
        <v>1</v>
      </c>
      <c r="F19" s="68">
        <v>40</v>
      </c>
      <c r="G19" s="74">
        <v>5000</v>
      </c>
      <c r="H19" s="72">
        <v>10000</v>
      </c>
      <c r="I19" s="70">
        <f t="shared" si="0"/>
        <v>600000</v>
      </c>
      <c r="J19" s="9">
        <f t="shared" si="2"/>
        <v>520000</v>
      </c>
      <c r="K19" s="154"/>
    </row>
    <row r="20" spans="3:11" x14ac:dyDescent="0.25">
      <c r="C20" s="14">
        <v>15</v>
      </c>
      <c r="D20" s="1" t="s">
        <v>138</v>
      </c>
      <c r="E20" s="2">
        <v>2</v>
      </c>
      <c r="F20" s="68">
        <v>5</v>
      </c>
      <c r="G20" s="74">
        <v>5000</v>
      </c>
      <c r="H20" s="72">
        <v>10000</v>
      </c>
      <c r="I20" s="70">
        <f t="shared" si="0"/>
        <v>150000</v>
      </c>
      <c r="J20" s="9">
        <f t="shared" si="2"/>
        <v>65000</v>
      </c>
      <c r="K20" s="154"/>
    </row>
    <row r="21" spans="3:11" x14ac:dyDescent="0.25">
      <c r="C21" s="14">
        <v>16</v>
      </c>
      <c r="D21" s="1" t="s">
        <v>139</v>
      </c>
      <c r="E21" s="2">
        <v>4</v>
      </c>
      <c r="F21" s="68">
        <v>55</v>
      </c>
      <c r="G21" s="74">
        <v>5000</v>
      </c>
      <c r="H21" s="72">
        <v>10000</v>
      </c>
      <c r="I21" s="70">
        <f t="shared" si="0"/>
        <v>3300000</v>
      </c>
      <c r="J21" s="9">
        <f t="shared" si="2"/>
        <v>715000</v>
      </c>
      <c r="K21" s="154"/>
    </row>
    <row r="22" spans="3:11" x14ac:dyDescent="0.25">
      <c r="C22" s="14">
        <v>17</v>
      </c>
      <c r="D22" s="1" t="s">
        <v>140</v>
      </c>
      <c r="E22" s="93">
        <v>3</v>
      </c>
      <c r="F22" s="68">
        <v>8</v>
      </c>
      <c r="G22" s="74">
        <v>5000</v>
      </c>
      <c r="H22" s="72">
        <v>10000</v>
      </c>
      <c r="I22" s="70">
        <f t="shared" si="0"/>
        <v>360000</v>
      </c>
      <c r="J22" s="9">
        <f t="shared" si="2"/>
        <v>104000</v>
      </c>
      <c r="K22" s="154"/>
    </row>
    <row r="23" spans="3:11" x14ac:dyDescent="0.25">
      <c r="C23" s="14">
        <v>18</v>
      </c>
      <c r="D23" s="1" t="s">
        <v>141</v>
      </c>
      <c r="E23" s="2">
        <v>3</v>
      </c>
      <c r="F23" s="68">
        <v>31</v>
      </c>
      <c r="G23" s="74">
        <v>5000</v>
      </c>
      <c r="H23" s="72">
        <v>10000</v>
      </c>
      <c r="I23" s="70">
        <f t="shared" si="0"/>
        <v>1395000</v>
      </c>
      <c r="J23" s="9">
        <v>0</v>
      </c>
      <c r="K23" s="154"/>
    </row>
    <row r="24" spans="3:11" x14ac:dyDescent="0.25">
      <c r="C24" s="14">
        <v>19</v>
      </c>
      <c r="D24" s="1" t="s">
        <v>224</v>
      </c>
      <c r="E24" s="2">
        <v>8</v>
      </c>
      <c r="F24" s="68">
        <v>60</v>
      </c>
      <c r="G24" s="74">
        <v>3000</v>
      </c>
      <c r="H24" s="72">
        <v>0</v>
      </c>
      <c r="I24" s="152">
        <f t="shared" si="0"/>
        <v>1440000</v>
      </c>
      <c r="J24" s="9">
        <f>E24*F24*G24</f>
        <v>1440000</v>
      </c>
      <c r="K24" s="154"/>
    </row>
    <row r="25" spans="3:11" ht="15.75" thickBot="1" x14ac:dyDescent="0.3">
      <c r="C25" s="14">
        <v>20</v>
      </c>
      <c r="D25" s="153" t="s">
        <v>216</v>
      </c>
      <c r="E25" s="149">
        <v>40</v>
      </c>
      <c r="F25" s="150">
        <v>60</v>
      </c>
      <c r="G25" s="159">
        <v>3000</v>
      </c>
      <c r="H25" s="72">
        <v>0</v>
      </c>
      <c r="I25" s="151">
        <f t="shared" si="0"/>
        <v>7200000</v>
      </c>
      <c r="J25" s="9">
        <f>E25*F25*G25</f>
        <v>7200000</v>
      </c>
      <c r="K25" s="154"/>
    </row>
    <row r="26" spans="3:11" ht="15.75" thickBot="1" x14ac:dyDescent="0.3">
      <c r="E26" s="77"/>
      <c r="F26" s="131"/>
      <c r="G26" s="133"/>
      <c r="H26" s="134" t="s">
        <v>179</v>
      </c>
      <c r="I26" s="75">
        <f>SUM(I6:I25)</f>
        <v>27220000</v>
      </c>
      <c r="J26" s="110">
        <f>SUM(J6:J25)</f>
        <v>18036000</v>
      </c>
      <c r="K26" s="24"/>
    </row>
    <row r="27" spans="3:11" x14ac:dyDescent="0.25">
      <c r="J27" s="47"/>
    </row>
    <row r="31" spans="3:11" x14ac:dyDescent="0.25">
      <c r="D31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3"/>
  <sheetViews>
    <sheetView topLeftCell="A3" workbookViewId="0">
      <selection activeCell="M4" sqref="M4"/>
    </sheetView>
  </sheetViews>
  <sheetFormatPr defaultRowHeight="15" x14ac:dyDescent="0.25"/>
  <cols>
    <col min="5" max="5" width="27.140625" customWidth="1"/>
    <col min="11" max="12" width="13.28515625" customWidth="1"/>
  </cols>
  <sheetData>
    <row r="2" spans="4:13" ht="15.75" thickBot="1" x14ac:dyDescent="0.3"/>
    <row r="3" spans="4:13" ht="44.25" x14ac:dyDescent="0.25">
      <c r="D3" s="20" t="s">
        <v>52</v>
      </c>
      <c r="E3" s="20" t="s">
        <v>53</v>
      </c>
      <c r="F3" s="20" t="s">
        <v>54</v>
      </c>
      <c r="G3" s="67" t="s">
        <v>145</v>
      </c>
      <c r="H3" s="73" t="s">
        <v>144</v>
      </c>
      <c r="I3" s="71" t="s">
        <v>146</v>
      </c>
      <c r="J3" s="69" t="s">
        <v>143</v>
      </c>
      <c r="K3" s="69" t="s">
        <v>192</v>
      </c>
      <c r="L3" s="163" t="s">
        <v>6</v>
      </c>
      <c r="M3" s="154"/>
    </row>
    <row r="4" spans="4:13" x14ac:dyDescent="0.25">
      <c r="D4" s="14"/>
      <c r="E4" s="15"/>
      <c r="F4" s="14"/>
      <c r="G4" s="68"/>
      <c r="H4" s="74"/>
      <c r="I4" s="72"/>
      <c r="J4" s="70"/>
      <c r="K4" s="9"/>
      <c r="L4" s="164"/>
      <c r="M4" s="154"/>
    </row>
    <row r="5" spans="4:13" x14ac:dyDescent="0.25">
      <c r="D5" s="2"/>
      <c r="E5" s="1"/>
      <c r="F5" s="2"/>
      <c r="G5" s="2"/>
      <c r="H5" s="1"/>
      <c r="K5" s="9"/>
      <c r="L5" s="164"/>
      <c r="M5" s="154"/>
    </row>
    <row r="6" spans="4:13" x14ac:dyDescent="0.25">
      <c r="D6" s="14"/>
      <c r="E6" s="15"/>
      <c r="F6" s="14"/>
      <c r="G6" s="68"/>
      <c r="H6" s="74"/>
      <c r="I6" s="72"/>
      <c r="J6" s="70"/>
      <c r="K6" s="9"/>
      <c r="L6" s="164"/>
      <c r="M6" s="154"/>
    </row>
    <row r="7" spans="4:13" x14ac:dyDescent="0.25">
      <c r="D7" s="2"/>
      <c r="E7" s="1"/>
      <c r="F7" s="2"/>
      <c r="G7" s="68"/>
      <c r="H7" s="74"/>
      <c r="I7" s="72"/>
      <c r="J7" s="152"/>
      <c r="K7" s="9"/>
      <c r="L7" s="164"/>
      <c r="M7" s="154"/>
    </row>
    <row r="8" spans="4:13" x14ac:dyDescent="0.25">
      <c r="D8" s="2"/>
      <c r="E8" s="153"/>
      <c r="F8" s="2"/>
      <c r="G8" s="2"/>
      <c r="H8" s="168"/>
      <c r="I8" s="168"/>
      <c r="J8" s="152"/>
      <c r="K8" s="9"/>
      <c r="L8" s="164"/>
      <c r="M8" s="154"/>
    </row>
    <row r="9" spans="4:13" ht="15.75" thickBot="1" x14ac:dyDescent="0.3">
      <c r="D9" s="165"/>
      <c r="E9" s="166"/>
      <c r="F9" s="149"/>
      <c r="G9" s="150"/>
      <c r="H9" s="159"/>
      <c r="I9" s="167"/>
      <c r="J9" s="151"/>
      <c r="K9" s="164"/>
      <c r="L9" s="164"/>
      <c r="M9" s="154"/>
    </row>
    <row r="10" spans="4:13" ht="15.75" thickBot="1" x14ac:dyDescent="0.3">
      <c r="D10" s="165"/>
      <c r="E10" s="166"/>
      <c r="F10" s="149"/>
      <c r="G10" s="150"/>
      <c r="H10" s="159"/>
      <c r="I10" s="167"/>
      <c r="J10" s="151"/>
      <c r="K10" s="164"/>
      <c r="L10" s="164"/>
      <c r="M10" s="154"/>
    </row>
    <row r="11" spans="4:13" ht="15.75" thickBot="1" x14ac:dyDescent="0.3">
      <c r="D11" s="165"/>
      <c r="E11" s="166"/>
      <c r="F11" s="149"/>
      <c r="G11" s="150"/>
      <c r="H11" s="159"/>
      <c r="I11" s="167"/>
      <c r="J11" s="151"/>
      <c r="K11" s="164"/>
      <c r="L11" s="164"/>
      <c r="M11" s="154"/>
    </row>
    <row r="12" spans="4:13" ht="15.75" thickBot="1" x14ac:dyDescent="0.3">
      <c r="D12" s="3"/>
      <c r="F12" s="77"/>
      <c r="G12" s="131"/>
      <c r="H12" s="133"/>
      <c r="I12" s="134"/>
      <c r="J12" s="75"/>
      <c r="K12" s="110"/>
      <c r="L12" s="110"/>
      <c r="M12" s="24"/>
    </row>
    <row r="13" spans="4:13" x14ac:dyDescent="0.25">
      <c r="D13" s="3"/>
      <c r="F13" s="3"/>
      <c r="G13" s="3"/>
      <c r="K13" s="47"/>
      <c r="L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</vt:lpstr>
      <vt:lpstr>Major Procure items</vt:lpstr>
      <vt:lpstr>Service</vt:lpstr>
      <vt:lpstr>Marine Equipment</vt:lpstr>
      <vt:lpstr>Other Expenses Plus Fuel</vt:lpstr>
      <vt:lpstr>Safety requirments</vt:lpstr>
      <vt:lpstr>Welding (Ancillary Material.)</vt:lpstr>
      <vt:lpstr>Personnel</vt:lpstr>
      <vt:lpstr>Security</vt:lpstr>
      <vt:lpstr>Accomodation &amp; Feeding</vt:lpstr>
      <vt:lpstr>Additonal  Community costs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2023-11-26T17:10:40Z</dcterms:created>
  <dcterms:modified xsi:type="dcterms:W3CDTF">2023-12-13T17:18:32Z</dcterms:modified>
</cp:coreProperties>
</file>