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823"/>
  <workbookPr showInkAnnotation="0" autoCompressPictures="0"/>
  <bookViews>
    <workbookView xWindow="0" yWindow="0" windowWidth="14400" windowHeight="17460" tabRatio="500"/>
  </bookViews>
  <sheets>
    <sheet name="Feuil1" sheetId="1" r:id="rId1"/>
  </sheets>
  <definedNames>
    <definedName name="solver_adj" localSheetId="0" hidden="1">Feuil1!$B$17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Feuil1!$B$17</definedName>
    <definedName name="solver_lhs2" localSheetId="0" hidden="1">Feuil1!$B$17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Feuil1!$B$15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3</definedName>
    <definedName name="solver_rhs1" localSheetId="0" hidden="1">1</definedName>
    <definedName name="solver_rhs2" localSheetId="0" hidden="1">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0" i="1" l="1"/>
  <c r="B19" i="1"/>
  <c r="B18" i="1"/>
  <c r="E36" i="1"/>
  <c r="C4" i="1"/>
  <c r="C22" i="1"/>
  <c r="D22" i="1"/>
  <c r="E22" i="1"/>
  <c r="F22" i="1"/>
  <c r="G22" i="1"/>
  <c r="H22" i="1"/>
  <c r="I22" i="1"/>
  <c r="J22" i="1"/>
  <c r="K22" i="1"/>
  <c r="L22" i="1"/>
  <c r="M22" i="1"/>
  <c r="B22" i="1"/>
  <c r="C8" i="1"/>
  <c r="C11" i="1"/>
  <c r="B8" i="1"/>
  <c r="C6" i="1"/>
  <c r="D6" i="1"/>
  <c r="E6" i="1"/>
  <c r="F6" i="1"/>
  <c r="G6" i="1"/>
  <c r="H6" i="1"/>
  <c r="I6" i="1"/>
  <c r="J6" i="1"/>
  <c r="K6" i="1"/>
  <c r="L6" i="1"/>
  <c r="M6" i="1"/>
  <c r="L11" i="1"/>
  <c r="M11" i="1"/>
  <c r="D11" i="1"/>
  <c r="E11" i="1"/>
  <c r="F11" i="1"/>
  <c r="G11" i="1"/>
  <c r="H10" i="1"/>
  <c r="H11" i="1"/>
  <c r="I10" i="1"/>
  <c r="I11" i="1"/>
  <c r="J10" i="1"/>
  <c r="J11" i="1"/>
  <c r="K10" i="1"/>
  <c r="K11" i="1"/>
  <c r="C31" i="1"/>
  <c r="D31" i="1"/>
  <c r="B31" i="1"/>
  <c r="C33" i="1"/>
  <c r="C35" i="1"/>
  <c r="D33" i="1"/>
  <c r="D35" i="1"/>
  <c r="B33" i="1"/>
  <c r="B35" i="1"/>
  <c r="E35" i="1"/>
  <c r="B5" i="1"/>
  <c r="C9" i="1"/>
  <c r="B21" i="1"/>
  <c r="B23" i="1"/>
  <c r="D4" i="1"/>
  <c r="C5" i="1"/>
  <c r="J21" i="1"/>
  <c r="J23" i="1"/>
  <c r="L21" i="1"/>
  <c r="L23" i="1"/>
  <c r="K21" i="1"/>
  <c r="K23" i="1"/>
  <c r="H21" i="1"/>
  <c r="H23" i="1"/>
  <c r="G21" i="1"/>
  <c r="G23" i="1"/>
  <c r="D21" i="1"/>
  <c r="D23" i="1"/>
  <c r="C21" i="1"/>
  <c r="C23" i="1"/>
  <c r="I21" i="1"/>
  <c r="I23" i="1"/>
  <c r="E21" i="1"/>
  <c r="E23" i="1"/>
  <c r="M21" i="1"/>
  <c r="M23" i="1"/>
  <c r="F21" i="1"/>
  <c r="F23" i="1"/>
  <c r="C7" i="1"/>
  <c r="C12" i="1"/>
  <c r="D8" i="1"/>
  <c r="D9" i="1"/>
  <c r="E4" i="1"/>
  <c r="D5" i="1"/>
  <c r="C14" i="1"/>
  <c r="F4" i="1"/>
  <c r="E5" i="1"/>
  <c r="E8" i="1"/>
  <c r="E9" i="1"/>
  <c r="D7" i="1"/>
  <c r="D12" i="1"/>
  <c r="D14" i="1"/>
  <c r="E7" i="1"/>
  <c r="E12" i="1"/>
  <c r="E14" i="1"/>
  <c r="G4" i="1"/>
  <c r="F8" i="1"/>
  <c r="F9" i="1"/>
  <c r="F5" i="1"/>
  <c r="G5" i="1"/>
  <c r="H4" i="1"/>
  <c r="G8" i="1"/>
  <c r="G9" i="1"/>
  <c r="F7" i="1"/>
  <c r="F12" i="1"/>
  <c r="F14" i="1"/>
  <c r="G7" i="1"/>
  <c r="G12" i="1"/>
  <c r="G14" i="1"/>
  <c r="H8" i="1"/>
  <c r="H9" i="1"/>
  <c r="I4" i="1"/>
  <c r="H5" i="1"/>
  <c r="J4" i="1"/>
  <c r="I8" i="1"/>
  <c r="I9" i="1"/>
  <c r="I5" i="1"/>
  <c r="H7" i="1"/>
  <c r="H12" i="1"/>
  <c r="H14" i="1"/>
  <c r="I7" i="1"/>
  <c r="I12" i="1"/>
  <c r="I14" i="1"/>
  <c r="J8" i="1"/>
  <c r="J9" i="1"/>
  <c r="K4" i="1"/>
  <c r="J5" i="1"/>
  <c r="K5" i="1"/>
  <c r="L4" i="1"/>
  <c r="K8" i="1"/>
  <c r="K9" i="1"/>
  <c r="J7" i="1"/>
  <c r="J12" i="1"/>
  <c r="J14" i="1"/>
  <c r="L8" i="1"/>
  <c r="L9" i="1"/>
  <c r="L5" i="1"/>
  <c r="M4" i="1"/>
  <c r="K7" i="1"/>
  <c r="K12" i="1"/>
  <c r="K14" i="1"/>
  <c r="M5" i="1"/>
  <c r="M8" i="1"/>
  <c r="M9" i="1"/>
  <c r="L7" i="1"/>
  <c r="L12" i="1"/>
  <c r="M7" i="1"/>
  <c r="M12" i="1"/>
  <c r="L13" i="1"/>
  <c r="L14" i="1"/>
  <c r="B15" i="1"/>
</calcChain>
</file>

<file path=xl/sharedStrings.xml><?xml version="1.0" encoding="utf-8"?>
<sst xmlns="http://schemas.openxmlformats.org/spreadsheetml/2006/main" count="40" uniqueCount="38">
  <si>
    <t>Year</t>
  </si>
  <si>
    <t>Tax rate</t>
  </si>
  <si>
    <t>ROC</t>
  </si>
  <si>
    <t>Exp. Growth</t>
  </si>
  <si>
    <t>EBIT</t>
  </si>
  <si>
    <t>WC</t>
  </si>
  <si>
    <t>Delta WC</t>
  </si>
  <si>
    <t>Reinv rate</t>
  </si>
  <si>
    <t>EBIT(1-t)</t>
  </si>
  <si>
    <t>Depreciation</t>
  </si>
  <si>
    <t>FCF</t>
  </si>
  <si>
    <t>CAPEX</t>
  </si>
  <si>
    <t>TV</t>
  </si>
  <si>
    <t>Firm</t>
  </si>
  <si>
    <t>UST</t>
  </si>
  <si>
    <t>Diageo</t>
  </si>
  <si>
    <t>Trinicom</t>
  </si>
  <si>
    <t>\beta_E</t>
  </si>
  <si>
    <t>Market Cap</t>
  </si>
  <si>
    <t>\beta_D</t>
  </si>
  <si>
    <t>Taxes</t>
  </si>
  <si>
    <t>\beta_U</t>
  </si>
  <si>
    <t>Leverage r</t>
  </si>
  <si>
    <t>Debt to Equity</t>
  </si>
  <si>
    <t>Average</t>
  </si>
  <si>
    <t>Market ratio</t>
  </si>
  <si>
    <t>Cost of equity</t>
  </si>
  <si>
    <t>Cost of debt</t>
  </si>
  <si>
    <t>Leverage</t>
  </si>
  <si>
    <t>WACC</t>
  </si>
  <si>
    <t>PV</t>
  </si>
  <si>
    <t>NPV</t>
  </si>
  <si>
    <t>\beta_L</t>
  </si>
  <si>
    <t>Debt to equity</t>
  </si>
  <si>
    <t>Drop in EBIT</t>
  </si>
  <si>
    <t>Deficit Spread</t>
  </si>
  <si>
    <t>0</t>
  </si>
  <si>
    <t>Deficit spread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</si>
</sst>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rgb="FFFA7D00"/>
      <name val="Calibri"/>
      <family val="2"/>
      <scheme val="minor"/>
    </font>
    <font>
      <b/>
      <sz val="15"/>
      <color rgb="FFFA7D0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18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auto="1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3" fillId="2" borderId="9" applyNumberFormat="0" applyAlignment="0" applyProtection="0"/>
  </cellStyleXfs>
  <cellXfs count="34">
    <xf numFmtId="0" fontId="0" fillId="0" borderId="0" xfId="0"/>
    <xf numFmtId="0" fontId="1" fillId="0" borderId="0" xfId="0" applyFont="1"/>
    <xf numFmtId="2" fontId="0" fillId="0" borderId="0" xfId="0" applyNumberFormat="1"/>
    <xf numFmtId="164" fontId="0" fillId="0" borderId="0" xfId="0" applyNumberFormat="1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2" fontId="1" fillId="0" borderId="6" xfId="0" applyNumberFormat="1" applyFont="1" applyBorder="1"/>
    <xf numFmtId="2" fontId="1" fillId="0" borderId="7" xfId="0" applyNumberFormat="1" applyFont="1" applyBorder="1"/>
    <xf numFmtId="2" fontId="1" fillId="0" borderId="8" xfId="0" applyNumberFormat="1" applyFont="1" applyBorder="1"/>
    <xf numFmtId="0" fontId="1" fillId="0" borderId="10" xfId="0" applyFont="1" applyBorder="1"/>
    <xf numFmtId="164" fontId="0" fillId="0" borderId="0" xfId="0" applyNumberFormat="1" applyBorder="1"/>
    <xf numFmtId="164" fontId="0" fillId="0" borderId="2" xfId="0" applyNumberFormat="1" applyBorder="1"/>
    <xf numFmtId="164" fontId="0" fillId="0" borderId="4" xfId="0" applyNumberFormat="1" applyBorder="1"/>
    <xf numFmtId="164" fontId="0" fillId="0" borderId="5" xfId="0" applyNumberFormat="1" applyBorder="1"/>
    <xf numFmtId="164" fontId="1" fillId="0" borderId="11" xfId="0" applyNumberFormat="1" applyFont="1" applyBorder="1"/>
    <xf numFmtId="164" fontId="0" fillId="0" borderId="11" xfId="0" applyNumberFormat="1" applyBorder="1"/>
    <xf numFmtId="164" fontId="0" fillId="0" borderId="12" xfId="0" applyNumberFormat="1" applyBorder="1"/>
    <xf numFmtId="2" fontId="0" fillId="0" borderId="2" xfId="0" applyNumberFormat="1" applyBorder="1"/>
    <xf numFmtId="2" fontId="0" fillId="0" borderId="4" xfId="0" applyNumberFormat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164" fontId="4" fillId="2" borderId="13" xfId="1" applyNumberFormat="1" applyFont="1" applyBorder="1"/>
    <xf numFmtId="164" fontId="4" fillId="2" borderId="14" xfId="1" applyNumberFormat="1" applyFont="1" applyBorder="1"/>
    <xf numFmtId="49" fontId="1" fillId="0" borderId="7" xfId="0" applyNumberFormat="1" applyFont="1" applyBorder="1" applyAlignment="1">
      <alignment horizontal="right"/>
    </xf>
    <xf numFmtId="0" fontId="1" fillId="0" borderId="7" xfId="0" applyFont="1" applyBorder="1"/>
    <xf numFmtId="0" fontId="1" fillId="0" borderId="8" xfId="0" applyFont="1" applyBorder="1"/>
    <xf numFmtId="2" fontId="2" fillId="0" borderId="6" xfId="0" applyNumberFormat="1" applyFont="1" applyBorder="1"/>
    <xf numFmtId="2" fontId="2" fillId="0" borderId="7" xfId="0" applyNumberFormat="1" applyFont="1" applyBorder="1"/>
    <xf numFmtId="2" fontId="0" fillId="0" borderId="8" xfId="0" applyNumberFormat="1" applyFont="1" applyBorder="1"/>
  </cellXfs>
  <cellStyles count="2">
    <cellStyle name="Calculation" xfId="1" builtinId="22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tabSelected="1" workbookViewId="0">
      <selection activeCell="E10" sqref="E10"/>
    </sheetView>
  </sheetViews>
  <sheetFormatPr baseColWidth="10" defaultColWidth="11" defaultRowHeight="15" x14ac:dyDescent="0"/>
  <cols>
    <col min="1" max="1" width="13.1640625" style="1" bestFit="1" customWidth="1"/>
    <col min="2" max="2" width="12.1640625" bestFit="1" customWidth="1"/>
    <col min="8" max="8" width="12.6640625" customWidth="1"/>
  </cols>
  <sheetData>
    <row r="1" spans="1:13">
      <c r="A1" s="13" t="s">
        <v>0</v>
      </c>
      <c r="B1" s="28" t="s">
        <v>36</v>
      </c>
      <c r="C1" s="29">
        <v>1</v>
      </c>
      <c r="D1" s="29">
        <v>2</v>
      </c>
      <c r="E1" s="29">
        <v>3</v>
      </c>
      <c r="F1" s="29">
        <v>4</v>
      </c>
      <c r="G1" s="29">
        <v>5</v>
      </c>
      <c r="H1" s="29">
        <v>6</v>
      </c>
      <c r="I1" s="29">
        <v>7</v>
      </c>
      <c r="J1" s="29">
        <v>8</v>
      </c>
      <c r="K1" s="29">
        <v>9</v>
      </c>
      <c r="L1" s="29">
        <v>10</v>
      </c>
      <c r="M1" s="30">
        <v>11</v>
      </c>
    </row>
    <row r="2" spans="1:13">
      <c r="A2" s="24" t="s">
        <v>1</v>
      </c>
      <c r="B2" s="14">
        <v>0.35</v>
      </c>
      <c r="C2" s="14">
        <v>0.35</v>
      </c>
      <c r="D2" s="14">
        <v>0.35</v>
      </c>
      <c r="E2" s="14">
        <v>0.35</v>
      </c>
      <c r="F2" s="14">
        <v>0.35</v>
      </c>
      <c r="G2" s="14">
        <v>0.35</v>
      </c>
      <c r="H2" s="14">
        <v>0.35</v>
      </c>
      <c r="I2" s="14">
        <v>0.35</v>
      </c>
      <c r="J2" s="14">
        <v>0.35</v>
      </c>
      <c r="K2" s="14">
        <v>0.35</v>
      </c>
      <c r="L2" s="14">
        <v>0.35</v>
      </c>
      <c r="M2" s="15">
        <v>0.35</v>
      </c>
    </row>
    <row r="3" spans="1:13">
      <c r="A3" s="24" t="s">
        <v>3</v>
      </c>
      <c r="B3" s="14"/>
      <c r="C3" s="14">
        <v>0.1</v>
      </c>
      <c r="D3" s="14">
        <v>0.1</v>
      </c>
      <c r="E3" s="14">
        <v>0.1</v>
      </c>
      <c r="F3" s="14">
        <v>0.1</v>
      </c>
      <c r="G3" s="14">
        <v>0.1</v>
      </c>
      <c r="H3" s="14">
        <v>0.09</v>
      </c>
      <c r="I3" s="14">
        <v>0.08</v>
      </c>
      <c r="J3" s="14">
        <v>7.0000000000000007E-2</v>
      </c>
      <c r="K3" s="14">
        <v>0.06</v>
      </c>
      <c r="L3" s="14">
        <v>0.05</v>
      </c>
      <c r="M3" s="15">
        <v>0.05</v>
      </c>
    </row>
    <row r="4" spans="1:13">
      <c r="A4" s="24" t="s">
        <v>4</v>
      </c>
      <c r="B4" s="14">
        <v>5840</v>
      </c>
      <c r="C4" s="14">
        <f>B4*(1+C3)</f>
        <v>6424.0000000000009</v>
      </c>
      <c r="D4" s="14">
        <f t="shared" ref="D4:M4" si="0">C4*(1+D3)</f>
        <v>7066.4000000000015</v>
      </c>
      <c r="E4" s="14">
        <f t="shared" si="0"/>
        <v>7773.0400000000018</v>
      </c>
      <c r="F4" s="14">
        <f t="shared" si="0"/>
        <v>8550.3440000000028</v>
      </c>
      <c r="G4" s="14">
        <f t="shared" si="0"/>
        <v>9405.3784000000032</v>
      </c>
      <c r="H4" s="14">
        <f t="shared" si="0"/>
        <v>10251.862456000004</v>
      </c>
      <c r="I4" s="14">
        <f t="shared" si="0"/>
        <v>11072.011452480005</v>
      </c>
      <c r="J4" s="14">
        <f t="shared" si="0"/>
        <v>11847.052254153607</v>
      </c>
      <c r="K4" s="14">
        <f t="shared" si="0"/>
        <v>12557.875389402823</v>
      </c>
      <c r="L4" s="14">
        <f t="shared" si="0"/>
        <v>13185.769158872965</v>
      </c>
      <c r="M4" s="15">
        <f t="shared" si="0"/>
        <v>13845.057616816614</v>
      </c>
    </row>
    <row r="5" spans="1:13">
      <c r="A5" s="24" t="s">
        <v>8</v>
      </c>
      <c r="B5" s="14">
        <f t="shared" ref="B5:M5" si="1">B4*(1-B2)</f>
        <v>3796</v>
      </c>
      <c r="C5" s="14">
        <f t="shared" si="1"/>
        <v>4175.6000000000004</v>
      </c>
      <c r="D5" s="14">
        <f t="shared" si="1"/>
        <v>4593.1600000000008</v>
      </c>
      <c r="E5" s="14">
        <f t="shared" si="1"/>
        <v>5052.4760000000015</v>
      </c>
      <c r="F5" s="14">
        <f t="shared" si="1"/>
        <v>5557.7236000000021</v>
      </c>
      <c r="G5" s="14">
        <f t="shared" si="1"/>
        <v>6113.495960000002</v>
      </c>
      <c r="H5" s="14">
        <f t="shared" si="1"/>
        <v>6663.7105964000029</v>
      </c>
      <c r="I5" s="14">
        <f t="shared" si="1"/>
        <v>7196.8074441120034</v>
      </c>
      <c r="J5" s="14">
        <f t="shared" si="1"/>
        <v>7700.5839651998449</v>
      </c>
      <c r="K5" s="14">
        <f t="shared" si="1"/>
        <v>8162.6190031118358</v>
      </c>
      <c r="L5" s="14">
        <f t="shared" si="1"/>
        <v>8570.7499532674283</v>
      </c>
      <c r="M5" s="15">
        <f t="shared" si="1"/>
        <v>8999.2874509307985</v>
      </c>
    </row>
    <row r="6" spans="1:13">
      <c r="A6" s="24" t="s">
        <v>9</v>
      </c>
      <c r="B6" s="14">
        <v>700</v>
      </c>
      <c r="C6" s="14">
        <f>B6*(1+C3)</f>
        <v>770.00000000000011</v>
      </c>
      <c r="D6" s="14">
        <f t="shared" ref="D6:M6" si="2">C6*(1+D3)</f>
        <v>847.00000000000023</v>
      </c>
      <c r="E6" s="14">
        <f t="shared" si="2"/>
        <v>931.70000000000027</v>
      </c>
      <c r="F6" s="14">
        <f t="shared" si="2"/>
        <v>1024.8700000000003</v>
      </c>
      <c r="G6" s="14">
        <f t="shared" si="2"/>
        <v>1127.3570000000004</v>
      </c>
      <c r="H6" s="14">
        <f t="shared" si="2"/>
        <v>1228.8191300000005</v>
      </c>
      <c r="I6" s="14">
        <f t="shared" si="2"/>
        <v>1327.1246604000007</v>
      </c>
      <c r="J6" s="14">
        <f t="shared" si="2"/>
        <v>1420.0233866280009</v>
      </c>
      <c r="K6" s="14">
        <f t="shared" si="2"/>
        <v>1505.224789825681</v>
      </c>
      <c r="L6" s="14">
        <f t="shared" si="2"/>
        <v>1580.4860293169652</v>
      </c>
      <c r="M6" s="15">
        <f t="shared" si="2"/>
        <v>1659.5103307828135</v>
      </c>
    </row>
    <row r="7" spans="1:13">
      <c r="A7" s="24" t="s">
        <v>11</v>
      </c>
      <c r="B7" s="14"/>
      <c r="C7" s="14">
        <f t="shared" ref="C7:M7" si="3">C5*C11-C9+C6</f>
        <v>2799.4</v>
      </c>
      <c r="D7" s="14">
        <f t="shared" si="3"/>
        <v>3079.34</v>
      </c>
      <c r="E7" s="14">
        <f t="shared" si="3"/>
        <v>3387.2740000000008</v>
      </c>
      <c r="F7" s="14">
        <f t="shared" si="3"/>
        <v>3726.0014000000015</v>
      </c>
      <c r="G7" s="14">
        <f t="shared" si="3"/>
        <v>4098.6015400000015</v>
      </c>
      <c r="H7" s="14">
        <f t="shared" si="3"/>
        <v>4267.7850664625021</v>
      </c>
      <c r="I7" s="14">
        <f t="shared" si="3"/>
        <v>4374.1564755833069</v>
      </c>
      <c r="J7" s="14">
        <f t="shared" si="3"/>
        <v>4405.2515653469418</v>
      </c>
      <c r="K7" s="14">
        <f t="shared" si="3"/>
        <v>4349.3635488406999</v>
      </c>
      <c r="L7" s="14">
        <f t="shared" si="3"/>
        <v>4196.0560127660219</v>
      </c>
      <c r="M7" s="15">
        <f t="shared" si="3"/>
        <v>4405.8588134043239</v>
      </c>
    </row>
    <row r="8" spans="1:13">
      <c r="A8" s="24" t="s">
        <v>5</v>
      </c>
      <c r="B8" s="14">
        <f>0.1*B4</f>
        <v>584</v>
      </c>
      <c r="C8" s="14">
        <f t="shared" ref="C8:M8" si="4">0.1*C4</f>
        <v>642.40000000000009</v>
      </c>
      <c r="D8" s="14">
        <f t="shared" si="4"/>
        <v>706.64000000000021</v>
      </c>
      <c r="E8" s="14">
        <f t="shared" si="4"/>
        <v>777.3040000000002</v>
      </c>
      <c r="F8" s="14">
        <f t="shared" si="4"/>
        <v>855.03440000000035</v>
      </c>
      <c r="G8" s="14">
        <f t="shared" si="4"/>
        <v>940.53784000000041</v>
      </c>
      <c r="H8" s="14">
        <f t="shared" si="4"/>
        <v>1025.1862456000006</v>
      </c>
      <c r="I8" s="14">
        <f t="shared" si="4"/>
        <v>1107.2011452480006</v>
      </c>
      <c r="J8" s="14">
        <f t="shared" si="4"/>
        <v>1184.7052254153607</v>
      </c>
      <c r="K8" s="14">
        <f t="shared" si="4"/>
        <v>1255.7875389402825</v>
      </c>
      <c r="L8" s="14">
        <f t="shared" si="4"/>
        <v>1318.5769158872965</v>
      </c>
      <c r="M8" s="15">
        <f t="shared" si="4"/>
        <v>1384.5057616816614</v>
      </c>
    </row>
    <row r="9" spans="1:13">
      <c r="A9" s="24" t="s">
        <v>6</v>
      </c>
      <c r="B9" s="14"/>
      <c r="C9" s="14">
        <f>C8-B8</f>
        <v>58.400000000000091</v>
      </c>
      <c r="D9" s="14">
        <f t="shared" ref="D9:M9" si="5">D8-C8</f>
        <v>64.240000000000123</v>
      </c>
      <c r="E9" s="14">
        <f t="shared" si="5"/>
        <v>70.663999999999987</v>
      </c>
      <c r="F9" s="14">
        <f t="shared" si="5"/>
        <v>77.730400000000145</v>
      </c>
      <c r="G9" s="14">
        <f t="shared" si="5"/>
        <v>85.503440000000069</v>
      </c>
      <c r="H9" s="14">
        <f t="shared" si="5"/>
        <v>84.64840560000016</v>
      </c>
      <c r="I9" s="14">
        <f t="shared" si="5"/>
        <v>82.014899647999982</v>
      </c>
      <c r="J9" s="14">
        <f t="shared" si="5"/>
        <v>77.504080167360144</v>
      </c>
      <c r="K9" s="14">
        <f t="shared" si="5"/>
        <v>71.082313524921801</v>
      </c>
      <c r="L9" s="14">
        <f t="shared" si="5"/>
        <v>62.789376947014034</v>
      </c>
      <c r="M9" s="15">
        <f t="shared" si="5"/>
        <v>65.928845794364861</v>
      </c>
    </row>
    <row r="10" spans="1:13">
      <c r="A10" s="24" t="s">
        <v>2</v>
      </c>
      <c r="B10" s="14">
        <v>0.2</v>
      </c>
      <c r="C10" s="14">
        <v>0.2</v>
      </c>
      <c r="D10" s="14">
        <v>0.2</v>
      </c>
      <c r="E10" s="14">
        <v>0.2</v>
      </c>
      <c r="F10" s="14">
        <v>0.2</v>
      </c>
      <c r="G10" s="14">
        <v>0.2</v>
      </c>
      <c r="H10" s="14">
        <f>$G$10-($G$10-$L$10)/5</f>
        <v>0.192</v>
      </c>
      <c r="I10" s="14">
        <f>$G$10-2*($G$10-$L$10)/5</f>
        <v>0.184</v>
      </c>
      <c r="J10" s="14">
        <f>$G$10-3*($G$10-$L$10)/5</f>
        <v>0.17600000000000002</v>
      </c>
      <c r="K10" s="14">
        <f>$G$10-4*($G$10-$L$10)/5</f>
        <v>0.16800000000000001</v>
      </c>
      <c r="L10" s="14">
        <v>0.16</v>
      </c>
      <c r="M10" s="15">
        <v>0.16</v>
      </c>
    </row>
    <row r="11" spans="1:13">
      <c r="A11" s="24" t="s">
        <v>7</v>
      </c>
      <c r="B11" s="14"/>
      <c r="C11" s="14">
        <f t="shared" ref="C11:M11" si="6">C3/C10</f>
        <v>0.5</v>
      </c>
      <c r="D11" s="14">
        <f t="shared" si="6"/>
        <v>0.5</v>
      </c>
      <c r="E11" s="14">
        <f t="shared" si="6"/>
        <v>0.5</v>
      </c>
      <c r="F11" s="14">
        <f t="shared" si="6"/>
        <v>0.5</v>
      </c>
      <c r="G11" s="14">
        <f t="shared" si="6"/>
        <v>0.5</v>
      </c>
      <c r="H11" s="14">
        <f t="shared" si="6"/>
        <v>0.46875</v>
      </c>
      <c r="I11" s="14">
        <f t="shared" si="6"/>
        <v>0.43478260869565222</v>
      </c>
      <c r="J11" s="14">
        <f t="shared" si="6"/>
        <v>0.39772727272727271</v>
      </c>
      <c r="K11" s="14">
        <f t="shared" si="6"/>
        <v>0.3571428571428571</v>
      </c>
      <c r="L11" s="14">
        <f t="shared" si="6"/>
        <v>0.3125</v>
      </c>
      <c r="M11" s="15">
        <f t="shared" si="6"/>
        <v>0.3125</v>
      </c>
    </row>
    <row r="12" spans="1:13">
      <c r="A12" s="24" t="s">
        <v>10</v>
      </c>
      <c r="B12" s="14"/>
      <c r="C12" s="14">
        <f>C5-C7-C9+C6</f>
        <v>2087.8000000000002</v>
      </c>
      <c r="D12" s="14">
        <f t="shared" ref="D12:M12" si="7">D5-D7-D9+D6</f>
        <v>2296.5800000000008</v>
      </c>
      <c r="E12" s="14">
        <f t="shared" si="7"/>
        <v>2526.2380000000012</v>
      </c>
      <c r="F12" s="14">
        <f t="shared" si="7"/>
        <v>2778.8618000000006</v>
      </c>
      <c r="G12" s="14">
        <f t="shared" si="7"/>
        <v>3056.747980000001</v>
      </c>
      <c r="H12" s="14">
        <f t="shared" si="7"/>
        <v>3540.0962543375017</v>
      </c>
      <c r="I12" s="14">
        <f t="shared" si="7"/>
        <v>4067.760729280697</v>
      </c>
      <c r="J12" s="14">
        <f t="shared" si="7"/>
        <v>4637.8517063135441</v>
      </c>
      <c r="K12" s="14">
        <f t="shared" si="7"/>
        <v>5247.3979305718949</v>
      </c>
      <c r="L12" s="14">
        <f t="shared" si="7"/>
        <v>5892.3905928713575</v>
      </c>
      <c r="M12" s="15">
        <f t="shared" si="7"/>
        <v>6187.0101225149228</v>
      </c>
    </row>
    <row r="13" spans="1:13">
      <c r="A13" s="24" t="s">
        <v>12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>
        <f>M12/(L23-L3)</f>
        <v>102053.56491316602</v>
      </c>
      <c r="M13" s="15"/>
    </row>
    <row r="14" spans="1:13">
      <c r="A14" s="24" t="s">
        <v>30</v>
      </c>
      <c r="B14" s="14"/>
      <c r="C14" s="14">
        <f t="shared" ref="C14:K14" si="8">C12/((1+C23)^C1)</f>
        <v>1879.8422196055608</v>
      </c>
      <c r="D14" s="14">
        <f t="shared" si="8"/>
        <v>1861.8581510071458</v>
      </c>
      <c r="E14" s="14">
        <f t="shared" si="8"/>
        <v>1844.0461323392933</v>
      </c>
      <c r="F14" s="14">
        <f t="shared" si="8"/>
        <v>1826.4045176352718</v>
      </c>
      <c r="G14" s="14">
        <f t="shared" si="8"/>
        <v>1808.9316766749805</v>
      </c>
      <c r="H14" s="14">
        <f t="shared" si="8"/>
        <v>1886.2971411522508</v>
      </c>
      <c r="I14" s="14">
        <f t="shared" si="8"/>
        <v>1951.5646428359187</v>
      </c>
      <c r="J14" s="14">
        <f t="shared" si="8"/>
        <v>2003.4426091401151</v>
      </c>
      <c r="K14" s="14">
        <f t="shared" si="8"/>
        <v>2040.9696830326529</v>
      </c>
      <c r="L14" s="14">
        <f>(L12+L13)/((1+L23)^L1)</f>
        <v>37803.449903766312</v>
      </c>
      <c r="M14" s="15"/>
    </row>
    <row r="15" spans="1:13" ht="19">
      <c r="A15" s="25" t="s">
        <v>31</v>
      </c>
      <c r="B15" s="26">
        <f>SUM(C14:L14)</f>
        <v>54906.806677189503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7"/>
    </row>
    <row r="16" spans="1:13"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 ht="19">
      <c r="A17" s="23" t="s">
        <v>28</v>
      </c>
      <c r="B17" s="27">
        <v>0.24990000000000001</v>
      </c>
      <c r="C17" s="18"/>
      <c r="D17" s="19"/>
      <c r="E17" s="19"/>
      <c r="F17" s="19"/>
      <c r="G17" s="19"/>
      <c r="H17" s="19"/>
      <c r="I17" s="19"/>
      <c r="J17" s="19"/>
      <c r="K17" s="19"/>
      <c r="L17" s="19"/>
      <c r="M17" s="20"/>
    </row>
    <row r="18" spans="1:13">
      <c r="A18" s="24" t="s">
        <v>33</v>
      </c>
      <c r="B18" s="14">
        <f>B17/(1-B17)</f>
        <v>0.33315557925609923</v>
      </c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5"/>
    </row>
    <row r="19" spans="1:13">
      <c r="A19" s="24" t="s">
        <v>37</v>
      </c>
      <c r="B19" s="14">
        <f>VLOOKUP(B17,G28:I40,2,TRUE)/100</f>
        <v>0.01</v>
      </c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5"/>
    </row>
    <row r="20" spans="1:13">
      <c r="A20" s="24" t="s">
        <v>34</v>
      </c>
      <c r="B20" s="14">
        <f>VLOOKUP(B17,G28:I40,3,TRUE)/100</f>
        <v>0</v>
      </c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5"/>
    </row>
    <row r="21" spans="1:13">
      <c r="A21" s="24" t="s">
        <v>26</v>
      </c>
      <c r="B21" s="14">
        <f>0.04+$E$36*0.075</f>
        <v>0.13665294618184654</v>
      </c>
      <c r="C21" s="14">
        <f t="shared" ref="C21:M21" si="9">0.04+$E$36*0.075</f>
        <v>0.13665294618184654</v>
      </c>
      <c r="D21" s="14">
        <f t="shared" si="9"/>
        <v>0.13665294618184654</v>
      </c>
      <c r="E21" s="14">
        <f t="shared" si="9"/>
        <v>0.13665294618184654</v>
      </c>
      <c r="F21" s="14">
        <f t="shared" si="9"/>
        <v>0.13665294618184654</v>
      </c>
      <c r="G21" s="14">
        <f t="shared" si="9"/>
        <v>0.13665294618184654</v>
      </c>
      <c r="H21" s="14">
        <f t="shared" si="9"/>
        <v>0.13665294618184654</v>
      </c>
      <c r="I21" s="14">
        <f t="shared" si="9"/>
        <v>0.13665294618184654</v>
      </c>
      <c r="J21" s="14">
        <f t="shared" si="9"/>
        <v>0.13665294618184654</v>
      </c>
      <c r="K21" s="14">
        <f t="shared" si="9"/>
        <v>0.13665294618184654</v>
      </c>
      <c r="L21" s="14">
        <f t="shared" si="9"/>
        <v>0.13665294618184654</v>
      </c>
      <c r="M21" s="15">
        <f t="shared" si="9"/>
        <v>0.13665294618184654</v>
      </c>
    </row>
    <row r="22" spans="1:13">
      <c r="A22" s="24" t="s">
        <v>27</v>
      </c>
      <c r="B22" s="14">
        <f>(0.04+$B$19)*(1-B2)</f>
        <v>3.2500000000000001E-2</v>
      </c>
      <c r="C22" s="14">
        <f t="shared" ref="C22:M22" si="10">(0.04+$B$19)*(1-C2)</f>
        <v>3.2500000000000001E-2</v>
      </c>
      <c r="D22" s="14">
        <f t="shared" si="10"/>
        <v>3.2500000000000001E-2</v>
      </c>
      <c r="E22" s="14">
        <f t="shared" si="10"/>
        <v>3.2500000000000001E-2</v>
      </c>
      <c r="F22" s="14">
        <f t="shared" si="10"/>
        <v>3.2500000000000001E-2</v>
      </c>
      <c r="G22" s="14">
        <f t="shared" si="10"/>
        <v>3.2500000000000001E-2</v>
      </c>
      <c r="H22" s="14">
        <f t="shared" si="10"/>
        <v>3.2500000000000001E-2</v>
      </c>
      <c r="I22" s="14">
        <f t="shared" si="10"/>
        <v>3.2500000000000001E-2</v>
      </c>
      <c r="J22" s="14">
        <f t="shared" si="10"/>
        <v>3.2500000000000001E-2</v>
      </c>
      <c r="K22" s="14">
        <f t="shared" si="10"/>
        <v>3.2500000000000001E-2</v>
      </c>
      <c r="L22" s="14">
        <f t="shared" si="10"/>
        <v>3.2500000000000001E-2</v>
      </c>
      <c r="M22" s="15">
        <f t="shared" si="10"/>
        <v>3.2500000000000001E-2</v>
      </c>
    </row>
    <row r="23" spans="1:13">
      <c r="A23" s="25" t="s">
        <v>29</v>
      </c>
      <c r="B23" s="16">
        <f>B21*(1-$B$17)+B22*$B$17</f>
        <v>0.11062512493100309</v>
      </c>
      <c r="C23" s="16">
        <f t="shared" ref="C23:M23" si="11">C21*(1-$B$17)+C22*$B$17</f>
        <v>0.11062512493100309</v>
      </c>
      <c r="D23" s="16">
        <f t="shared" si="11"/>
        <v>0.11062512493100309</v>
      </c>
      <c r="E23" s="16">
        <f t="shared" si="11"/>
        <v>0.11062512493100309</v>
      </c>
      <c r="F23" s="16">
        <f t="shared" si="11"/>
        <v>0.11062512493100309</v>
      </c>
      <c r="G23" s="16">
        <f t="shared" si="11"/>
        <v>0.11062512493100309</v>
      </c>
      <c r="H23" s="16">
        <f t="shared" si="11"/>
        <v>0.11062512493100309</v>
      </c>
      <c r="I23" s="16">
        <f t="shared" si="11"/>
        <v>0.11062512493100309</v>
      </c>
      <c r="J23" s="16">
        <f t="shared" si="11"/>
        <v>0.11062512493100309</v>
      </c>
      <c r="K23" s="16">
        <f t="shared" si="11"/>
        <v>0.11062512493100309</v>
      </c>
      <c r="L23" s="16">
        <f t="shared" si="11"/>
        <v>0.11062512493100309</v>
      </c>
      <c r="M23" s="17">
        <f t="shared" si="11"/>
        <v>0.11062512493100309</v>
      </c>
    </row>
    <row r="24" spans="1:1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</row>
    <row r="25" spans="1:1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</row>
    <row r="26" spans="1:1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</row>
    <row r="27" spans="1:13">
      <c r="A27" s="23" t="s">
        <v>13</v>
      </c>
      <c r="B27" s="31" t="s">
        <v>14</v>
      </c>
      <c r="C27" s="32" t="s">
        <v>15</v>
      </c>
      <c r="D27" s="32" t="s">
        <v>16</v>
      </c>
      <c r="E27" s="33" t="s">
        <v>24</v>
      </c>
      <c r="F27" s="2"/>
      <c r="G27" s="10" t="s">
        <v>28</v>
      </c>
      <c r="H27" s="11" t="s">
        <v>35</v>
      </c>
      <c r="I27" s="12" t="s">
        <v>34</v>
      </c>
      <c r="J27" s="2"/>
      <c r="K27" s="2"/>
      <c r="L27" s="2"/>
      <c r="M27" s="2"/>
    </row>
    <row r="28" spans="1:13">
      <c r="A28" s="24" t="s">
        <v>17</v>
      </c>
      <c r="B28" s="14">
        <v>1.18</v>
      </c>
      <c r="C28" s="14">
        <v>1.37</v>
      </c>
      <c r="D28" s="14">
        <v>1.26</v>
      </c>
      <c r="E28" s="21"/>
      <c r="F28" s="2"/>
      <c r="G28" s="4">
        <v>0</v>
      </c>
      <c r="H28" s="5">
        <v>0.35</v>
      </c>
      <c r="I28" s="6">
        <v>0</v>
      </c>
      <c r="J28" s="2"/>
      <c r="K28" s="2"/>
      <c r="L28" s="2"/>
      <c r="M28" s="2"/>
    </row>
    <row r="29" spans="1:13">
      <c r="A29" s="24" t="s">
        <v>19</v>
      </c>
      <c r="B29" s="14">
        <v>0</v>
      </c>
      <c r="C29" s="14">
        <v>0</v>
      </c>
      <c r="D29" s="14">
        <v>0</v>
      </c>
      <c r="E29" s="21"/>
      <c r="F29" s="2"/>
      <c r="G29" s="4">
        <v>0.05</v>
      </c>
      <c r="H29" s="5">
        <v>0.5</v>
      </c>
      <c r="I29" s="6">
        <v>0</v>
      </c>
      <c r="J29" s="2"/>
      <c r="K29" s="2"/>
      <c r="L29" s="2"/>
      <c r="M29" s="2"/>
    </row>
    <row r="30" spans="1:13">
      <c r="A30" s="24" t="s">
        <v>18</v>
      </c>
      <c r="B30" s="14">
        <v>32000</v>
      </c>
      <c r="C30" s="14">
        <v>39000</v>
      </c>
      <c r="D30" s="14">
        <v>162000</v>
      </c>
      <c r="E30" s="21"/>
      <c r="F30" s="2"/>
      <c r="G30" s="4">
        <v>0.1</v>
      </c>
      <c r="H30" s="5">
        <v>0.7</v>
      </c>
      <c r="I30" s="6">
        <v>0</v>
      </c>
      <c r="J30" s="2"/>
      <c r="K30" s="2"/>
      <c r="L30" s="2"/>
      <c r="M30" s="2"/>
    </row>
    <row r="31" spans="1:13">
      <c r="A31" s="24" t="s">
        <v>25</v>
      </c>
      <c r="B31" s="14">
        <f>B30/SUM($B$30:$D$30)</f>
        <v>0.13733905579399142</v>
      </c>
      <c r="C31" s="14">
        <f t="shared" ref="C31:D31" si="12">C30/SUM($B$30:$D$30)</f>
        <v>0.16738197424892703</v>
      </c>
      <c r="D31" s="14">
        <f t="shared" si="12"/>
        <v>0.69527896995708149</v>
      </c>
      <c r="E31" s="21"/>
      <c r="F31" s="2"/>
      <c r="G31" s="4">
        <v>0.15</v>
      </c>
      <c r="H31" s="5">
        <v>0.85</v>
      </c>
      <c r="I31" s="6">
        <v>0</v>
      </c>
      <c r="J31" s="2"/>
      <c r="K31" s="2"/>
      <c r="L31" s="2"/>
      <c r="M31" s="2"/>
    </row>
    <row r="32" spans="1:13">
      <c r="A32" s="24" t="s">
        <v>22</v>
      </c>
      <c r="B32" s="14">
        <v>0.25</v>
      </c>
      <c r="C32" s="14">
        <v>0.37</v>
      </c>
      <c r="D32" s="14">
        <v>0.19</v>
      </c>
      <c r="E32" s="21"/>
      <c r="F32" s="2"/>
      <c r="G32" s="4">
        <v>0.2</v>
      </c>
      <c r="H32" s="5">
        <v>1</v>
      </c>
      <c r="I32" s="6">
        <v>0</v>
      </c>
      <c r="J32" s="2"/>
      <c r="K32" s="2"/>
      <c r="L32" s="2"/>
      <c r="M32" s="2"/>
    </row>
    <row r="33" spans="1:13">
      <c r="A33" s="24" t="s">
        <v>23</v>
      </c>
      <c r="B33" s="14">
        <f>B32/(1-B32)</f>
        <v>0.33333333333333331</v>
      </c>
      <c r="C33" s="14">
        <f t="shared" ref="C33:D33" si="13">C32/(1-C32)</f>
        <v>0.58730158730158732</v>
      </c>
      <c r="D33" s="14">
        <f t="shared" si="13"/>
        <v>0.23456790123456789</v>
      </c>
      <c r="E33" s="21"/>
      <c r="F33" s="2"/>
      <c r="G33" s="4">
        <v>0.25</v>
      </c>
      <c r="H33" s="5">
        <v>1.5</v>
      </c>
      <c r="I33" s="6">
        <v>5</v>
      </c>
      <c r="J33" s="2"/>
      <c r="K33" s="2"/>
      <c r="L33" s="2"/>
      <c r="M33" s="2"/>
    </row>
    <row r="34" spans="1:13">
      <c r="A34" s="24" t="s">
        <v>20</v>
      </c>
      <c r="B34" s="14">
        <v>0.35</v>
      </c>
      <c r="C34" s="14">
        <v>0.35</v>
      </c>
      <c r="D34" s="14">
        <v>0.35</v>
      </c>
      <c r="E34" s="21"/>
      <c r="F34" s="2"/>
      <c r="G34" s="4">
        <v>0.3</v>
      </c>
      <c r="H34" s="5">
        <v>2.5</v>
      </c>
      <c r="I34" s="6">
        <v>7.5</v>
      </c>
      <c r="J34" s="2"/>
      <c r="K34" s="2"/>
      <c r="L34" s="2"/>
      <c r="M34" s="2"/>
    </row>
    <row r="35" spans="1:13">
      <c r="A35" s="24" t="s">
        <v>21</v>
      </c>
      <c r="B35" s="14">
        <f>(B28+(1-B34)*B29*B33)/(1+(1-B34)*B33)</f>
        <v>0.96986301369863004</v>
      </c>
      <c r="C35" s="14">
        <f t="shared" ref="C35:D35" si="14">(C28+(1-C34)*C29*C33)/(1+(1-C34)*C33)</f>
        <v>0.99149913842619197</v>
      </c>
      <c r="D35" s="14">
        <f t="shared" si="14"/>
        <v>1.0933047670058917</v>
      </c>
      <c r="E35" s="15">
        <f>SUMPRODUCT(B35:D35,B31:D31)</f>
        <v>1.0593109660597944</v>
      </c>
      <c r="F35" s="2"/>
      <c r="G35" s="4">
        <v>0.35</v>
      </c>
      <c r="H35" s="5">
        <v>3.25</v>
      </c>
      <c r="I35" s="6">
        <v>10</v>
      </c>
      <c r="J35" s="2"/>
      <c r="K35" s="2"/>
      <c r="L35" s="2"/>
      <c r="M35" s="2"/>
    </row>
    <row r="36" spans="1:13">
      <c r="A36" s="25" t="s">
        <v>32</v>
      </c>
      <c r="B36" s="22"/>
      <c r="C36" s="22"/>
      <c r="D36" s="22"/>
      <c r="E36" s="17">
        <f>E35+(1-D34)*(E35-0)*B18</f>
        <v>1.2887059490912871</v>
      </c>
      <c r="F36" s="2"/>
      <c r="G36" s="4">
        <v>0.4</v>
      </c>
      <c r="H36" s="5">
        <v>4</v>
      </c>
      <c r="I36" s="6">
        <v>13</v>
      </c>
      <c r="J36" s="2"/>
      <c r="K36" s="2"/>
      <c r="L36" s="2"/>
      <c r="M36" s="2"/>
    </row>
    <row r="37" spans="1:13">
      <c r="B37" s="2"/>
      <c r="C37" s="2"/>
      <c r="D37" s="2"/>
      <c r="E37" s="2"/>
      <c r="F37" s="2"/>
      <c r="G37" s="4">
        <v>0.45</v>
      </c>
      <c r="H37" s="5">
        <v>6</v>
      </c>
      <c r="I37" s="6">
        <v>17</v>
      </c>
      <c r="J37" s="2"/>
      <c r="K37" s="2"/>
      <c r="L37" s="2"/>
      <c r="M37" s="2"/>
    </row>
    <row r="38" spans="1:13">
      <c r="B38" s="2"/>
      <c r="C38" s="2"/>
      <c r="D38" s="2"/>
      <c r="E38" s="2"/>
      <c r="F38" s="2"/>
      <c r="G38" s="4">
        <v>0.5</v>
      </c>
      <c r="H38" s="5">
        <v>8</v>
      </c>
      <c r="I38" s="6">
        <v>23</v>
      </c>
      <c r="J38" s="2"/>
      <c r="K38" s="2"/>
      <c r="L38" s="2"/>
      <c r="M38" s="2"/>
    </row>
    <row r="39" spans="1:13">
      <c r="B39" s="2"/>
      <c r="C39" s="2"/>
      <c r="D39" s="2"/>
      <c r="E39" s="2"/>
      <c r="F39" s="2"/>
      <c r="G39" s="4">
        <v>0.55000000000000004</v>
      </c>
      <c r="H39" s="5">
        <v>10</v>
      </c>
      <c r="I39" s="6">
        <v>31</v>
      </c>
      <c r="J39" s="2"/>
      <c r="K39" s="2"/>
      <c r="L39" s="2"/>
      <c r="M39" s="2"/>
    </row>
    <row r="40" spans="1:13">
      <c r="B40" s="2"/>
      <c r="C40" s="2"/>
      <c r="D40" s="2"/>
      <c r="E40" s="2"/>
      <c r="F40" s="2"/>
      <c r="G40" s="7">
        <v>0.6</v>
      </c>
      <c r="H40" s="8">
        <v>20</v>
      </c>
      <c r="I40" s="9">
        <v>50</v>
      </c>
      <c r="J40" s="2"/>
      <c r="K40" s="2"/>
      <c r="L40" s="2"/>
      <c r="M40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Valentin Matter</dc:creator>
  <cp:lastModifiedBy>SpotMe</cp:lastModifiedBy>
  <dcterms:created xsi:type="dcterms:W3CDTF">2014-11-24T09:40:20Z</dcterms:created>
  <dcterms:modified xsi:type="dcterms:W3CDTF">2016-12-11T18:31:11Z</dcterms:modified>
</cp:coreProperties>
</file>